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<sst xmlns="http://schemas.openxmlformats.org/spreadsheetml/2006/main" count="1372" uniqueCount="236">
  <si>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</si>
  <si>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</si>
  <si>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</si>
  <si>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</si>
  <si>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</si>
  <si>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</si>
  <si>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</si>
  <si>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</si>
  <si>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</si>
  <si>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</si>
  <si>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</si>
  <si>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</si>
  <si>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</si>
  <si>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</si>
  <si>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</si>
  <si>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</si>
  <si>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</si>
  <si>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</si>
  <si>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</si>
  <si>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</si>
  <si>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</si>
  <si>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</si>
  <si>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</si>
  <si>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</si>
  <si>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</si>
  <si>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</si>
  <si>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</si>
  <si>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</si>
  <si>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</si>
  <si>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</si>
  <si>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</si>
  <si>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</si>
  <si>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</si>
  <si>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</si>
  <si>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</si>
  <si>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</si>
  <si>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</si>
  <si>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</si>
  <si>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</si>
  <si>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</si>
  <si>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</si>
  <si>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</si>
  <si>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</si>
  <si>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</si>
  <si>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</si>
  <si>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</si>
  <si>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</si>
  <si>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</si>
  <si>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</si>
  <si>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</si>
  <si>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</si>
  <si>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</si>
  <si>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</si>
  <si>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</si>
  <si>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</si>
  <si>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</si>
  <si>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</si>
  <si>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</si>
  <si>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</si>
  <si>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</si>
  <si>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</si>
  <si>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</si>
  <si>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</si>
  <si>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</si>
  <si>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</si>
  <si>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</si>
  <si>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</si>
  <si>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</si>
  <si>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</si>
  <si>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</si>
  <si>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</si>
  <si>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</si>
  <si>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</si>
  <si>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</si>
  <si>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</si>
  <si>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</si>
  <si>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</si>
  <si>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</si>
  <si>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</si>
  <si>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</si>
  <si>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</si>
  <si>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</si>
  <si>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</si>
  <si>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</si>
  <si>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</si>
  <si>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</si>
  <si>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</si>
  <si>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</si>
  <si>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</si>
  <si>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</si>
  <si>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</si>
  <si>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</si>
  <si>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</si>
  <si>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</si>
  <si>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</si>
  <si>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</si>
  <si>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</si>
  <si>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</si>
  <si>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</si>
  <si>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</si>
  <si>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</si>
  <si>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</si>
  <si>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</si>
  <si>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</si>
  <si>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</si>
  <si>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</si>
  <si>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</si>
  <si>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</si>
  <si>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</si>
  <si>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</si>
  <si>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</si>
  <si>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</si>
  <si>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</si>
  <si>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</si>
  <si>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</si>
  <si>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</si>
  <si>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</si>
  <si>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</si>
  <si>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</si>
  <si>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</si>
  <si>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</si>
  <si>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</si>
  <si>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</si>
  <si>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</si>
  <si>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</si>
  <si>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</si>
  <si>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</si>
  <si>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</si>
  <si>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</si>
  <si>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</si>
  <si>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</si>
  <si>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</si>
  <si>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</si>
  <si>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</si>
  <si>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</si>
  <si>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</si>
  <si>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</si>
  <si>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</si>
  <si>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</si>
  <si>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</si>
  <si>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</si>
  <si>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</si>
  <si>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</si>
  <si>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</si>
  <si>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</si>
  <si>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</si>
  <si>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</si>
  <si>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</si>
  <si>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</si>
  <si>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</si>
  <si>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</si>
  <si>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</si>
  <si>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</si>
  <si>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</si>
  <si>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</si>
  <si>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</si>
  <si>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</si>
  <si>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</si>
  <si>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</si>
  <si>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</si>
  <si>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</si>
  <si>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</si>
  <si>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</si>
  <si>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</si>
  <si>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</si>
  <si>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</si>
  <si>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</si>
  <si>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</si>
  <si>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</si>
  <si>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</si>
  <si>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</si>
  <si>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</si>
  <si>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</si>
  <si>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</si>
  <si>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</si>
  <si>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</si>
  <si>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</si>
  <si>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</si>
  <si>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</si>
  <si>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</si>
  <si>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</si>
  <si>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</si>
  <si>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</si>
  <si>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</si>
  <si>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</si>
  <si>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</si>
  <si>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</si>
  <si>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</si>
  <si>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</si>
  <si>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</si>
  <si>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</si>
  <si>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</si>
  <si>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</si>
  <si>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</si>
  <si>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</si>
  <si>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</si>
  <si>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</si>
  <si>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</si>
  <si>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</si>
  <si>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</si>
  <si>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</si>
  <si>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</si>
  <si>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</si>
  <si>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</si>
  <si>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</si>
  <si>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</si>
  <si>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</si>
  <si>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</si>
  <si>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</si>
  <si>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</si>
  <si>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</si>
  <si>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</si>
  <si>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</si>
  <si>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</si>
  <si>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</si>
  <si>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</si>
  <si>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</si>
  <si>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</si>
  <si>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</si>
  <si>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</si>
  <si>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</si>
  <si>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</si>
  <si>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</si>
  <si>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</si>
  <si>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</si>
  <si>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</si>
  <si>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</si>
  <si>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</si>
  <si>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</si>
  <si>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</si>
  <si>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</si>
  <si>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</si>
  <si>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</si>
  <si>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</si>
  <si>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</si>
  <si>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02.08.17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</si>
</sst>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5" sqref="F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728938.75</v>
      </c>
      <c r="G8" s="151">
        <f aca="true" t="shared" si="0" ref="G8:G40">F8-E8</f>
        <v>-116872.44999999995</v>
      </c>
      <c r="H8" s="152">
        <f>F8/E8*100</f>
        <v>86.18220591072807</v>
      </c>
      <c r="I8" s="153">
        <f>F8-D8</f>
        <v>-569512.3500000001</v>
      </c>
      <c r="J8" s="153">
        <f>F8/D8*100</f>
        <v>56.13909911586197</v>
      </c>
      <c r="K8" s="151">
        <f>K9+K15+K18+K19+K23+K17</f>
        <v>633520.83</v>
      </c>
      <c r="L8" s="151">
        <f aca="true" t="shared" si="1" ref="L8:L54">F8-K8</f>
        <v>95417.92000000004</v>
      </c>
      <c r="M8" s="205">
        <f aca="true" t="shared" si="2" ref="M8:M31">F8/K8</f>
        <v>1.1506152844256123</v>
      </c>
      <c r="N8" s="151">
        <f>N9+N15+N18+N19+N23+N17</f>
        <v>118471</v>
      </c>
      <c r="O8" s="151">
        <f>O9+O15+O18+O19+O23+O17</f>
        <v>3365.9800000000023</v>
      </c>
      <c r="P8" s="151">
        <f>O8-N8</f>
        <v>-115105.02</v>
      </c>
      <c r="Q8" s="151">
        <f>O8/N8*100</f>
        <v>2.841184762515723</v>
      </c>
      <c r="R8" s="15">
        <f>R9+R15+R18+R19+R23</f>
        <v>102514</v>
      </c>
      <c r="S8" s="15">
        <f>O8-R8</f>
        <v>-99148.02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421080.1</v>
      </c>
      <c r="G9" s="150">
        <f t="shared" si="0"/>
        <v>-60159.90000000002</v>
      </c>
      <c r="H9" s="157">
        <f>F9/E9*100</f>
        <v>87.49898179702434</v>
      </c>
      <c r="I9" s="158">
        <f>F9-D9</f>
        <v>-345564.9</v>
      </c>
      <c r="J9" s="158">
        <f>F9/D9*100</f>
        <v>54.925043533839</v>
      </c>
      <c r="K9" s="227">
        <v>339918.36</v>
      </c>
      <c r="L9" s="159">
        <f t="shared" si="1"/>
        <v>81161.73999999999</v>
      </c>
      <c r="M9" s="206">
        <f t="shared" si="2"/>
        <v>1.2387683324901897</v>
      </c>
      <c r="N9" s="157">
        <f>E9-липень!E9</f>
        <v>64700</v>
      </c>
      <c r="O9" s="160">
        <f>F9-липень!F9</f>
        <v>1437</v>
      </c>
      <c r="P9" s="161">
        <f>O9-N9</f>
        <v>-63263</v>
      </c>
      <c r="Q9" s="158">
        <f>O9/N9*100</f>
        <v>2.221020092735703</v>
      </c>
      <c r="R9" s="100">
        <v>71000</v>
      </c>
      <c r="S9" s="100">
        <f>O9-R9</f>
        <v>-69563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 t="shared" si="0"/>
        <v>1079.4099999999744</v>
      </c>
      <c r="H10" s="30">
        <f aca="true" t="shared" si="3" ref="H10:H39">F10/E10*100</f>
        <v>100.28509962811138</v>
      </c>
      <c r="I10" s="104">
        <f aca="true" t="shared" si="4" ref="I10:I40">F10-D10</f>
        <v>-321629.59</v>
      </c>
      <c r="J10" s="104">
        <f aca="true" t="shared" si="5" ref="J10:J39">F10/D10*100</f>
        <v>54.13919953458992</v>
      </c>
      <c r="K10" s="106">
        <v>298673.41</v>
      </c>
      <c r="L10" s="106">
        <f t="shared" si="1"/>
        <v>81014</v>
      </c>
      <c r="M10" s="207">
        <f t="shared" si="2"/>
        <v>1.271246107914327</v>
      </c>
      <c r="N10" s="157">
        <f>E10-липень!E10</f>
        <v>0</v>
      </c>
      <c r="O10" s="160">
        <f>F10-липень!F10</f>
        <v>0</v>
      </c>
      <c r="P10" s="106">
        <f aca="true" t="shared" si="6" ref="P10:P40">O10-N10</f>
        <v>0</v>
      </c>
      <c r="Q10" s="104" t="e">
        <f aca="true" t="shared" si="7" ref="Q10:Q27">O10/N10*100</f>
        <v>#DIV/0!</v>
      </c>
      <c r="R10" s="37"/>
      <c r="S10" s="100">
        <f aca="true" t="shared" si="8" ref="S10:S35">O10-R10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 t="shared" si="0"/>
        <v>-3738.1699999999983</v>
      </c>
      <c r="H11" s="30">
        <f t="shared" si="3"/>
        <v>85.7756088280061</v>
      </c>
      <c r="I11" s="104">
        <f t="shared" si="4"/>
        <v>-23964.17</v>
      </c>
      <c r="J11" s="104">
        <f t="shared" si="5"/>
        <v>48.47079946673548</v>
      </c>
      <c r="K11" s="106">
        <v>24998.93</v>
      </c>
      <c r="L11" s="106">
        <f t="shared" si="1"/>
        <v>-2457.0999999999985</v>
      </c>
      <c r="M11" s="207">
        <f t="shared" si="2"/>
        <v>0.9017117932647518</v>
      </c>
      <c r="N11" s="157">
        <f>E11-липень!E11</f>
        <v>0</v>
      </c>
      <c r="O11" s="160">
        <f>F11-липень!F11</f>
        <v>0</v>
      </c>
      <c r="P11" s="106">
        <f t="shared" si="6"/>
        <v>0</v>
      </c>
      <c r="Q11" s="104" t="e">
        <f t="shared" si="7"/>
        <v>#DIV/0!</v>
      </c>
      <c r="R11" s="37"/>
      <c r="S11" s="100">
        <f t="shared" si="8"/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 t="shared" si="0"/>
        <v>1008.79</v>
      </c>
      <c r="H12" s="30">
        <f t="shared" si="3"/>
        <v>122.72049549549548</v>
      </c>
      <c r="I12" s="104">
        <f t="shared" si="4"/>
        <v>-2831.21</v>
      </c>
      <c r="J12" s="104">
        <f t="shared" si="5"/>
        <v>65.80664251207729</v>
      </c>
      <c r="K12" s="106">
        <v>6686.39</v>
      </c>
      <c r="L12" s="106">
        <f t="shared" si="1"/>
        <v>-1237.6000000000004</v>
      </c>
      <c r="M12" s="207">
        <f t="shared" si="2"/>
        <v>0.8149075958775961</v>
      </c>
      <c r="N12" s="157">
        <f>E12-липень!E12</f>
        <v>0</v>
      </c>
      <c r="O12" s="160">
        <f>F12-липень!F12</f>
        <v>0</v>
      </c>
      <c r="P12" s="106">
        <f t="shared" si="6"/>
        <v>0</v>
      </c>
      <c r="Q12" s="104" t="e">
        <f t="shared" si="7"/>
        <v>#DIV/0!</v>
      </c>
      <c r="R12" s="37"/>
      <c r="S12" s="100">
        <f t="shared" si="8"/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 t="shared" si="0"/>
        <v>-120.13000000000011</v>
      </c>
      <c r="H13" s="30">
        <f t="shared" si="3"/>
        <v>98.1631498470948</v>
      </c>
      <c r="I13" s="104">
        <f t="shared" si="4"/>
        <v>-2970.13</v>
      </c>
      <c r="J13" s="104">
        <f t="shared" si="5"/>
        <v>68.3692225772098</v>
      </c>
      <c r="K13" s="106">
        <v>7017.25</v>
      </c>
      <c r="L13" s="106">
        <f t="shared" si="1"/>
        <v>-597.3800000000001</v>
      </c>
      <c r="M13" s="207">
        <f t="shared" si="2"/>
        <v>0.914869785172254</v>
      </c>
      <c r="N13" s="157">
        <f>E13-липень!E13</f>
        <v>0</v>
      </c>
      <c r="O13" s="160">
        <f>F13-липень!F13</f>
        <v>0</v>
      </c>
      <c r="P13" s="106">
        <f t="shared" si="6"/>
        <v>0</v>
      </c>
      <c r="Q13" s="104" t="e">
        <f t="shared" si="7"/>
        <v>#DIV/0!</v>
      </c>
      <c r="R13" s="37"/>
      <c r="S13" s="100">
        <f t="shared" si="8"/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 t="shared" si="0"/>
        <v>148.73000000000002</v>
      </c>
      <c r="H14" s="30">
        <f t="shared" si="3"/>
        <v>122.13244047619047</v>
      </c>
      <c r="I14" s="104">
        <f t="shared" si="4"/>
        <v>-331.27</v>
      </c>
      <c r="J14" s="104">
        <f t="shared" si="5"/>
        <v>71.24392361111111</v>
      </c>
      <c r="K14" s="106">
        <v>2542.38</v>
      </c>
      <c r="L14" s="106">
        <f t="shared" si="1"/>
        <v>-1721.65</v>
      </c>
      <c r="M14" s="207">
        <f t="shared" si="2"/>
        <v>0.3228195627718909</v>
      </c>
      <c r="N14" s="157">
        <f>E14-липень!E14</f>
        <v>0</v>
      </c>
      <c r="O14" s="160">
        <f>F14-липень!F14</f>
        <v>0</v>
      </c>
      <c r="P14" s="106">
        <f t="shared" si="6"/>
        <v>0</v>
      </c>
      <c r="Q14" s="104" t="e">
        <f t="shared" si="7"/>
        <v>#DIV/0!</v>
      </c>
      <c r="R14" s="37"/>
      <c r="S14" s="100">
        <f t="shared" si="8"/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44.99</v>
      </c>
      <c r="G15" s="150">
        <f t="shared" si="0"/>
        <v>-406.01</v>
      </c>
      <c r="H15" s="157">
        <f>F15/E15*100</f>
        <v>9.975609756097562</v>
      </c>
      <c r="I15" s="158">
        <f t="shared" si="4"/>
        <v>-506.01</v>
      </c>
      <c r="J15" s="158">
        <f>F15/D15*100</f>
        <v>8.165154264972777</v>
      </c>
      <c r="K15" s="161">
        <v>385.26</v>
      </c>
      <c r="L15" s="161">
        <f t="shared" si="1"/>
        <v>-340.27</v>
      </c>
      <c r="M15" s="208">
        <f t="shared" si="2"/>
        <v>0.11677827960338473</v>
      </c>
      <c r="N15" s="157">
        <f>E15-липень!E15</f>
        <v>110</v>
      </c>
      <c r="O15" s="160">
        <f>F15-липень!F15</f>
        <v>0</v>
      </c>
      <c r="P15" s="161">
        <f t="shared" si="6"/>
        <v>-110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0</v>
      </c>
      <c r="L16" s="161">
        <f t="shared" si="1"/>
        <v>0</v>
      </c>
      <c r="M16" s="208" t="e">
        <f t="shared" si="2"/>
        <v>#DIV/0!</v>
      </c>
      <c r="N16" s="157">
        <f>E16-липень!E16</f>
        <v>0</v>
      </c>
      <c r="O16" s="160">
        <f>F16-липень!F16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119</v>
      </c>
      <c r="G18" s="150">
        <f t="shared" si="0"/>
        <v>29</v>
      </c>
      <c r="H18" s="157">
        <f>F18/E18*100</f>
        <v>132.22222222222223</v>
      </c>
      <c r="I18" s="158">
        <f t="shared" si="4"/>
        <v>-6</v>
      </c>
      <c r="J18" s="158">
        <f t="shared" si="5"/>
        <v>95.19999999999999</v>
      </c>
      <c r="K18" s="161">
        <v>105.8</v>
      </c>
      <c r="L18" s="161">
        <f t="shared" si="1"/>
        <v>13.200000000000003</v>
      </c>
      <c r="M18" s="208">
        <f t="shared" si="2"/>
        <v>1.1247637051039698</v>
      </c>
      <c r="N18" s="157">
        <f>E18-липень!E18</f>
        <v>20</v>
      </c>
      <c r="O18" s="160">
        <f>F18-липень!F18</f>
        <v>0.5400000000000063</v>
      </c>
      <c r="P18" s="161">
        <f t="shared" si="6"/>
        <v>-19.459999999999994</v>
      </c>
      <c r="Q18" s="158"/>
      <c r="R18" s="37">
        <v>0</v>
      </c>
      <c r="S18" s="100">
        <f t="shared" si="8"/>
        <v>0.5400000000000063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59407.56999999999</v>
      </c>
      <c r="G19" s="162">
        <f t="shared" si="0"/>
        <v>-23592.430000000008</v>
      </c>
      <c r="H19" s="164">
        <f t="shared" si="3"/>
        <v>71.57538554216868</v>
      </c>
      <c r="I19" s="165">
        <f t="shared" si="4"/>
        <v>-70592.43000000001</v>
      </c>
      <c r="J19" s="165">
        <f t="shared" si="5"/>
        <v>45.698130769230765</v>
      </c>
      <c r="K19" s="161">
        <v>64436.28</v>
      </c>
      <c r="L19" s="167">
        <f t="shared" si="1"/>
        <v>-5028.710000000006</v>
      </c>
      <c r="M19" s="213">
        <f t="shared" si="2"/>
        <v>0.9219584060408204</v>
      </c>
      <c r="N19" s="157">
        <f>E19-липень!E19</f>
        <v>11900</v>
      </c>
      <c r="O19" s="160">
        <f>F19-липень!F19</f>
        <v>7.269999999989523</v>
      </c>
      <c r="P19" s="167">
        <f t="shared" si="6"/>
        <v>-11892.73000000001</v>
      </c>
      <c r="Q19" s="165">
        <f t="shared" si="7"/>
        <v>0.06109243697470187</v>
      </c>
      <c r="R19" s="294">
        <v>8800</v>
      </c>
      <c r="S19" s="100">
        <f t="shared" si="8"/>
        <v>-8792.73000000001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36355.2</v>
      </c>
      <c r="G20" s="253">
        <f t="shared" si="0"/>
        <v>-13044.800000000003</v>
      </c>
      <c r="H20" s="195">
        <f t="shared" si="3"/>
        <v>73.59352226720647</v>
      </c>
      <c r="I20" s="254">
        <f t="shared" si="4"/>
        <v>-40144.8</v>
      </c>
      <c r="J20" s="254">
        <f t="shared" si="5"/>
        <v>47.52313725490196</v>
      </c>
      <c r="K20" s="161">
        <v>64436.28</v>
      </c>
      <c r="L20" s="166">
        <f t="shared" si="1"/>
        <v>-28081.08</v>
      </c>
      <c r="M20" s="256">
        <f t="shared" si="2"/>
        <v>0.5642038925897025</v>
      </c>
      <c r="N20" s="157">
        <f>E20-липень!E20</f>
        <v>6950</v>
      </c>
      <c r="O20" s="160">
        <f>F20-липень!F20</f>
        <v>7.19999999999709</v>
      </c>
      <c r="P20" s="166">
        <f t="shared" si="6"/>
        <v>-6942.800000000003</v>
      </c>
      <c r="Q20" s="254">
        <f t="shared" si="7"/>
        <v>0.10359712230211639</v>
      </c>
      <c r="R20" s="104">
        <v>4450</v>
      </c>
      <c r="S20" s="104">
        <f t="shared" si="8"/>
        <v>-4442.800000000003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0"/>
        <v>-1857.6800000000003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 t="shared" si="6"/>
        <v>-950</v>
      </c>
      <c r="Q21" s="254"/>
      <c r="R21" s="104">
        <v>900</v>
      </c>
      <c r="S21" s="104">
        <f t="shared" si="8"/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0"/>
        <v>-8689.95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 t="shared" si="6"/>
        <v>-4000</v>
      </c>
      <c r="Q22" s="254"/>
      <c r="R22" s="104">
        <v>3800</v>
      </c>
      <c r="S22" s="104">
        <f t="shared" si="8"/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248286.6</v>
      </c>
      <c r="G23" s="150">
        <f t="shared" si="0"/>
        <v>-32743.600000000006</v>
      </c>
      <c r="H23" s="157">
        <f t="shared" si="3"/>
        <v>88.34872551063907</v>
      </c>
      <c r="I23" s="158">
        <f t="shared" si="4"/>
        <v>-152843.49999999997</v>
      </c>
      <c r="J23" s="158">
        <f t="shared" si="5"/>
        <v>61.8967761332296</v>
      </c>
      <c r="K23" s="158">
        <v>228674.96</v>
      </c>
      <c r="L23" s="161">
        <f t="shared" si="1"/>
        <v>19611.640000000014</v>
      </c>
      <c r="M23" s="209">
        <f t="shared" si="2"/>
        <v>1.085762079066287</v>
      </c>
      <c r="N23" s="157">
        <f>E23-липень!E23</f>
        <v>41741</v>
      </c>
      <c r="O23" s="160">
        <f>F23-липень!F23</f>
        <v>1921.1700000000128</v>
      </c>
      <c r="P23" s="161">
        <f t="shared" si="6"/>
        <v>-39819.82999999999</v>
      </c>
      <c r="Q23" s="158">
        <f t="shared" si="7"/>
        <v>4.602596967010884</v>
      </c>
      <c r="R23" s="288">
        <f>R24+R33+R35</f>
        <v>22714</v>
      </c>
      <c r="S23" s="294">
        <f t="shared" si="8"/>
        <v>-20792.829999999987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121010.8</v>
      </c>
      <c r="G24" s="150">
        <f t="shared" si="0"/>
        <v>-16535.09999999999</v>
      </c>
      <c r="H24" s="157">
        <f t="shared" si="3"/>
        <v>87.97848572730994</v>
      </c>
      <c r="I24" s="158">
        <f t="shared" si="4"/>
        <v>-85610.2</v>
      </c>
      <c r="J24" s="158">
        <f t="shared" si="5"/>
        <v>58.566554222465285</v>
      </c>
      <c r="K24" s="158">
        <v>121679.97</v>
      </c>
      <c r="L24" s="161">
        <f t="shared" si="1"/>
        <v>-669.1699999999983</v>
      </c>
      <c r="M24" s="209">
        <f t="shared" si="2"/>
        <v>0.9945005739235472</v>
      </c>
      <c r="N24" s="157">
        <f>E24-липень!E24</f>
        <v>17475</v>
      </c>
      <c r="O24" s="160">
        <f>F24-липень!F24</f>
        <v>376.1000000000058</v>
      </c>
      <c r="P24" s="161">
        <f t="shared" si="6"/>
        <v>-17098.899999999994</v>
      </c>
      <c r="Q24" s="158">
        <f t="shared" si="7"/>
        <v>2.1522174535050405</v>
      </c>
      <c r="R24" s="293">
        <f>R25+R28+R29</f>
        <v>15007</v>
      </c>
      <c r="S24" s="293">
        <f t="shared" si="8"/>
        <v>-14630.899999999994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15928.3</v>
      </c>
      <c r="G25" s="171">
        <f t="shared" si="0"/>
        <v>-425.8000000000011</v>
      </c>
      <c r="H25" s="173">
        <f t="shared" si="3"/>
        <v>97.39637155208784</v>
      </c>
      <c r="I25" s="174">
        <f t="shared" si="4"/>
        <v>-6880.700000000001</v>
      </c>
      <c r="J25" s="174">
        <f t="shared" si="5"/>
        <v>69.83339909684774</v>
      </c>
      <c r="K25" s="175">
        <v>14873.47</v>
      </c>
      <c r="L25" s="166">
        <f t="shared" si="1"/>
        <v>1054.83</v>
      </c>
      <c r="M25" s="215">
        <f t="shared" si="2"/>
        <v>1.0709202358292988</v>
      </c>
      <c r="N25" s="157">
        <f>E25-липень!E25</f>
        <v>1155</v>
      </c>
      <c r="O25" s="160">
        <f>F25-липень!F25</f>
        <v>66.29999999999927</v>
      </c>
      <c r="P25" s="177">
        <f t="shared" si="6"/>
        <v>-1088.7000000000007</v>
      </c>
      <c r="Q25" s="174">
        <f t="shared" si="7"/>
        <v>5.740259740259678</v>
      </c>
      <c r="R25" s="104">
        <v>800</v>
      </c>
      <c r="S25" s="104">
        <f t="shared" si="8"/>
        <v>-733.7000000000007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98">
        <f t="shared" si="0"/>
        <v>-764.45</v>
      </c>
      <c r="H26" s="199">
        <f t="shared" si="3"/>
        <v>34.099137931034484</v>
      </c>
      <c r="I26" s="200">
        <f t="shared" si="4"/>
        <v>-1426.75</v>
      </c>
      <c r="J26" s="200">
        <f t="shared" si="5"/>
        <v>21.706085715853593</v>
      </c>
      <c r="K26" s="200">
        <v>623.64</v>
      </c>
      <c r="L26" s="200">
        <f t="shared" si="1"/>
        <v>-228.08999999999997</v>
      </c>
      <c r="M26" s="228">
        <f t="shared" si="2"/>
        <v>0.6342601500865884</v>
      </c>
      <c r="N26" s="157">
        <f>E26-липень!E26</f>
        <v>0</v>
      </c>
      <c r="O26" s="160">
        <f>F26-липень!F26</f>
        <v>0</v>
      </c>
      <c r="P26" s="200">
        <f t="shared" si="6"/>
        <v>0</v>
      </c>
      <c r="Q26" s="200" t="e">
        <f t="shared" si="7"/>
        <v>#DIV/0!</v>
      </c>
      <c r="R26" s="104"/>
      <c r="S26" s="104">
        <f t="shared" si="8"/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98">
        <f t="shared" si="0"/>
        <v>1315.789999999999</v>
      </c>
      <c r="H27" s="199">
        <f t="shared" si="3"/>
        <v>109.37232443675164</v>
      </c>
      <c r="I27" s="200">
        <f t="shared" si="4"/>
        <v>-5631.810000000001</v>
      </c>
      <c r="J27" s="200">
        <f t="shared" si="5"/>
        <v>73.16486155517542</v>
      </c>
      <c r="K27" s="200">
        <v>14249.83</v>
      </c>
      <c r="L27" s="200">
        <f t="shared" si="1"/>
        <v>1105.0599999999995</v>
      </c>
      <c r="M27" s="228">
        <f t="shared" si="2"/>
        <v>1.0775489953213477</v>
      </c>
      <c r="N27" s="157">
        <f>E27-липень!E27</f>
        <v>0</v>
      </c>
      <c r="O27" s="160">
        <f>F27-липень!F27</f>
        <v>0</v>
      </c>
      <c r="P27" s="200">
        <f t="shared" si="6"/>
        <v>0</v>
      </c>
      <c r="Q27" s="200" t="e">
        <f t="shared" si="7"/>
        <v>#DIV/0!</v>
      </c>
      <c r="R27" s="104"/>
      <c r="S27" s="104">
        <f t="shared" si="8"/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-40.8</v>
      </c>
      <c r="G28" s="171">
        <f t="shared" si="0"/>
        <v>-402.6</v>
      </c>
      <c r="H28" s="173">
        <f t="shared" si="3"/>
        <v>-11.276948590381425</v>
      </c>
      <c r="I28" s="174">
        <f t="shared" si="4"/>
        <v>-860.8</v>
      </c>
      <c r="J28" s="174">
        <f t="shared" si="5"/>
        <v>-4.975609756097561</v>
      </c>
      <c r="K28" s="174">
        <v>669</v>
      </c>
      <c r="L28" s="174">
        <f t="shared" si="1"/>
        <v>-709.8</v>
      </c>
      <c r="M28" s="212">
        <f t="shared" si="2"/>
        <v>-0.06098654708520179</v>
      </c>
      <c r="N28" s="157">
        <f>E28-липень!E28</f>
        <v>105</v>
      </c>
      <c r="O28" s="160">
        <f>F28-липень!F28</f>
        <v>0</v>
      </c>
      <c r="P28" s="177">
        <f t="shared" si="6"/>
        <v>-105</v>
      </c>
      <c r="Q28" s="174">
        <f>O28/N28*100</f>
        <v>0</v>
      </c>
      <c r="R28" s="104">
        <v>-25</v>
      </c>
      <c r="S28" s="104">
        <f t="shared" si="8"/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105123.3</v>
      </c>
      <c r="G29" s="171">
        <f t="shared" si="0"/>
        <v>-15706.699999999997</v>
      </c>
      <c r="H29" s="173">
        <f t="shared" si="3"/>
        <v>87.00099313084499</v>
      </c>
      <c r="I29" s="174">
        <f t="shared" si="4"/>
        <v>-77868.7</v>
      </c>
      <c r="J29" s="174">
        <f t="shared" si="5"/>
        <v>57.44693757104136</v>
      </c>
      <c r="K29" s="175">
        <v>106137.5</v>
      </c>
      <c r="L29" s="175">
        <f t="shared" si="1"/>
        <v>-1014.1999999999971</v>
      </c>
      <c r="M29" s="211">
        <f t="shared" si="2"/>
        <v>0.9904444706159463</v>
      </c>
      <c r="N29" s="157">
        <f>E29-липень!E29</f>
        <v>16215</v>
      </c>
      <c r="O29" s="160">
        <f>F29-липень!F29</f>
        <v>309.8000000000029</v>
      </c>
      <c r="P29" s="177">
        <f t="shared" si="6"/>
        <v>-15905.199999999997</v>
      </c>
      <c r="Q29" s="174">
        <f>O29/N29*100</f>
        <v>1.9105766265803448</v>
      </c>
      <c r="R29" s="104">
        <v>14232</v>
      </c>
      <c r="S29" s="104">
        <f t="shared" si="8"/>
        <v>-13922.199999999997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 t="shared" si="0"/>
        <v>3081.6900000000023</v>
      </c>
      <c r="H30" s="199">
        <f t="shared" si="3"/>
        <v>109.41980742778543</v>
      </c>
      <c r="I30" s="200">
        <f t="shared" si="4"/>
        <v>-21736.309999999998</v>
      </c>
      <c r="J30" s="200">
        <f t="shared" si="5"/>
        <v>62.219404515669275</v>
      </c>
      <c r="K30" s="200">
        <v>34037.82</v>
      </c>
      <c r="L30" s="200">
        <f t="shared" si="1"/>
        <v>1758.8700000000026</v>
      </c>
      <c r="M30" s="228">
        <f t="shared" si="2"/>
        <v>1.051673990872506</v>
      </c>
      <c r="N30" s="157">
        <f>E30-липень!E30</f>
        <v>0</v>
      </c>
      <c r="O30" s="160">
        <f>F30-липень!F30</f>
        <v>0</v>
      </c>
      <c r="P30" s="200">
        <f t="shared" si="6"/>
        <v>0</v>
      </c>
      <c r="Q30" s="200" t="e">
        <f>O30/N30*100</f>
        <v>#DIV/0!</v>
      </c>
      <c r="R30" s="107"/>
      <c r="S30" s="100">
        <f t="shared" si="8"/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 t="shared" si="0"/>
        <v>-3451</v>
      </c>
      <c r="H31" s="199">
        <f t="shared" si="3"/>
        <v>95.20027816411682</v>
      </c>
      <c r="I31" s="200">
        <f t="shared" si="4"/>
        <v>-57010</v>
      </c>
      <c r="J31" s="200">
        <f t="shared" si="5"/>
        <v>54.558859866569954</v>
      </c>
      <c r="K31" s="200">
        <v>72099.67</v>
      </c>
      <c r="L31" s="200">
        <f t="shared" si="1"/>
        <v>-3650.6699999999983</v>
      </c>
      <c r="M31" s="228">
        <f t="shared" si="2"/>
        <v>0.9493663424534399</v>
      </c>
      <c r="N31" s="157">
        <f>E31-липень!E31</f>
        <v>0</v>
      </c>
      <c r="O31" s="160">
        <f>F31-липень!F31</f>
        <v>0</v>
      </c>
      <c r="P31" s="200">
        <f t="shared" si="6"/>
        <v>0</v>
      </c>
      <c r="Q31" s="200" t="e">
        <f>O31/N31*100</f>
        <v>#DIV/0!</v>
      </c>
      <c r="R31" s="107"/>
      <c r="S31" s="100">
        <f t="shared" si="8"/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87.6</v>
      </c>
      <c r="G33" s="150">
        <f t="shared" si="0"/>
        <v>16</v>
      </c>
      <c r="H33" s="157">
        <f t="shared" si="3"/>
        <v>122.3463687150838</v>
      </c>
      <c r="I33" s="158">
        <f t="shared" si="4"/>
        <v>-27.400000000000006</v>
      </c>
      <c r="J33" s="158">
        <f t="shared" si="5"/>
        <v>76.17391304347827</v>
      </c>
      <c r="K33" s="158">
        <v>85.95</v>
      </c>
      <c r="L33" s="158">
        <f t="shared" si="1"/>
        <v>1.6499999999999915</v>
      </c>
      <c r="M33" s="210">
        <f>F33/K33</f>
        <v>1.0191972076788829</v>
      </c>
      <c r="N33" s="157">
        <f>E33-липень!E33</f>
        <v>15.999999999999993</v>
      </c>
      <c r="O33" s="160">
        <f>F33-липень!F33</f>
        <v>1.1499999999999915</v>
      </c>
      <c r="P33" s="161">
        <f t="shared" si="6"/>
        <v>-14.850000000000001</v>
      </c>
      <c r="Q33" s="158">
        <f>O33/N33*100</f>
        <v>7.187499999999949</v>
      </c>
      <c r="R33" s="293">
        <v>7</v>
      </c>
      <c r="S33" s="293">
        <f t="shared" si="8"/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 t="shared" si="0"/>
        <v>-34.3</v>
      </c>
      <c r="H34" s="157"/>
      <c r="I34" s="158">
        <f t="shared" si="4"/>
        <v>-34.3</v>
      </c>
      <c r="J34" s="158"/>
      <c r="K34" s="158">
        <v>-150.23</v>
      </c>
      <c r="L34" s="158">
        <f t="shared" si="1"/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 t="shared" si="6"/>
        <v>0.6200000000000045</v>
      </c>
      <c r="Q34" s="158"/>
      <c r="R34" s="293"/>
      <c r="S34" s="293">
        <f t="shared" si="8"/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127222.3</v>
      </c>
      <c r="G35" s="162">
        <f t="shared" si="0"/>
        <v>-16190.400000000009</v>
      </c>
      <c r="H35" s="164">
        <f t="shared" si="3"/>
        <v>88.71062325721502</v>
      </c>
      <c r="I35" s="165">
        <f t="shared" si="4"/>
        <v>-67171.8</v>
      </c>
      <c r="J35" s="165">
        <f t="shared" si="5"/>
        <v>65.4455562180128</v>
      </c>
      <c r="K35" s="178">
        <v>107059.12</v>
      </c>
      <c r="L35" s="178">
        <f>F35-K35</f>
        <v>20163.180000000008</v>
      </c>
      <c r="M35" s="226">
        <f>F35/K35</f>
        <v>1.188336874056129</v>
      </c>
      <c r="N35" s="157">
        <f>E35-липень!E35</f>
        <v>24250.000000000015</v>
      </c>
      <c r="O35" s="160">
        <f>F35-липень!F35</f>
        <v>1543.300000000003</v>
      </c>
      <c r="P35" s="167">
        <f t="shared" si="6"/>
        <v>-22706.70000000001</v>
      </c>
      <c r="Q35" s="165">
        <f>O35/N35*100</f>
        <v>6.364123711340214</v>
      </c>
      <c r="R35" s="293">
        <v>7700</v>
      </c>
      <c r="S35" s="293">
        <f t="shared" si="8"/>
        <v>-6156.699999999997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60">
        <f>F36-липень!F36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 t="shared" si="0"/>
        <v>685.7799999999988</v>
      </c>
      <c r="H37" s="105">
        <f t="shared" si="3"/>
        <v>102.94705629565964</v>
      </c>
      <c r="I37" s="104">
        <f t="shared" si="4"/>
        <v>-17044.22</v>
      </c>
      <c r="J37" s="104">
        <f t="shared" si="5"/>
        <v>58.42873170731707</v>
      </c>
      <c r="K37" s="127">
        <v>21754.51</v>
      </c>
      <c r="L37" s="127">
        <f t="shared" si="1"/>
        <v>2201.2700000000004</v>
      </c>
      <c r="M37" s="216">
        <f t="shared" si="9"/>
        <v>1.1011868343621622</v>
      </c>
      <c r="N37" s="105">
        <f>E37-червень!E37</f>
        <v>3250</v>
      </c>
      <c r="O37" s="160">
        <f>F37-липень!F37</f>
        <v>0</v>
      </c>
      <c r="P37" s="106">
        <f t="shared" si="6"/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 t="shared" si="0"/>
        <v>4988.110000000001</v>
      </c>
      <c r="H38" s="105">
        <f t="shared" si="3"/>
        <v>105.20353640726059</v>
      </c>
      <c r="I38" s="104">
        <f t="shared" si="4"/>
        <v>-52490.990000000005</v>
      </c>
      <c r="J38" s="104">
        <f t="shared" si="5"/>
        <v>65.76803307179969</v>
      </c>
      <c r="K38" s="127">
        <v>66031.82</v>
      </c>
      <c r="L38" s="127">
        <f t="shared" si="1"/>
        <v>34816.28999999999</v>
      </c>
      <c r="M38" s="216">
        <f t="shared" si="9"/>
        <v>1.5272653396498839</v>
      </c>
      <c r="N38" s="105">
        <f>E38-червень!E38</f>
        <v>15000</v>
      </c>
      <c r="O38" s="160">
        <f>F38-липень!F38</f>
        <v>0</v>
      </c>
      <c r="P38" s="106">
        <f t="shared" si="6"/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 t="shared" si="0"/>
        <v>-2.6300000000000026</v>
      </c>
      <c r="H39" s="105">
        <f t="shared" si="3"/>
        <v>91.95718654434249</v>
      </c>
      <c r="I39" s="104">
        <f t="shared" si="4"/>
        <v>-24.93</v>
      </c>
      <c r="J39" s="104">
        <f t="shared" si="5"/>
        <v>54.67272727272727</v>
      </c>
      <c r="K39" s="127">
        <v>20.52</v>
      </c>
      <c r="L39" s="127">
        <f t="shared" si="1"/>
        <v>9.55</v>
      </c>
      <c r="M39" s="216">
        <f t="shared" si="9"/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f>F40-липень!F40</f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42871.52</v>
      </c>
      <c r="G41" s="287">
        <f>G42+G43+G44+G45+G46+G48+G50+G51+G52+G53+G54+G59+G60+G64+G47+G49</f>
        <v>2294.0199999999986</v>
      </c>
      <c r="H41" s="152">
        <f>F41/E41*100</f>
        <v>105.65342862423756</v>
      </c>
      <c r="I41" s="153">
        <f>F41-D41</f>
        <v>-16153.480000000003</v>
      </c>
      <c r="J41" s="153">
        <f>F41/D41*100</f>
        <v>72.63281660313426</v>
      </c>
      <c r="K41" s="287">
        <f>K42+K43+K44+K45+K46+K48+K50+K51+K52+K53+K54+K59+K60+K64+K47+K49</f>
        <v>42988.27</v>
      </c>
      <c r="L41" s="151">
        <f t="shared" si="1"/>
        <v>-116.75</v>
      </c>
      <c r="M41" s="205">
        <f t="shared" si="9"/>
        <v>0.9972841428603664</v>
      </c>
      <c r="N41" s="151">
        <f>N42+N43+N44+N45+N46+N48+N50+N51+N52+N53+N54+N59+N60+N64+N47+N49</f>
        <v>5383.8</v>
      </c>
      <c r="O41" s="287">
        <f>O42+O43+O44+O45+O46+O48+O50+O51+O52+O53+O54+O59+O60+O64+O47+O49</f>
        <v>2407.93</v>
      </c>
      <c r="P41" s="151">
        <f>P42+P43+P44+P45+P46+P48+P50+P51+P52+P53+P54+P59+P60+P64</f>
        <v>-2969.0700000000006</v>
      </c>
      <c r="Q41" s="151">
        <f>O41/N41*100</f>
        <v>44.72547271443961</v>
      </c>
      <c r="R41" s="15">
        <f>R42+R43+R44+R45+R46+R47+R48+R50+R51+R52+R53+R54+R59+R60+R64</f>
        <v>5598.5</v>
      </c>
      <c r="S41" s="15">
        <f>O41-R41</f>
        <v>-3190.57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2215.3</v>
      </c>
      <c r="G42" s="162">
        <f>F42-E42</f>
        <v>1735.3000000000002</v>
      </c>
      <c r="H42" s="164">
        <f aca="true" t="shared" si="10" ref="H42:H65">F42/E42*100</f>
        <v>461.5208333333333</v>
      </c>
      <c r="I42" s="165">
        <f>F42-D42</f>
        <v>1635.3000000000002</v>
      </c>
      <c r="J42" s="165">
        <f>F42/D42*100</f>
        <v>381.948275862069</v>
      </c>
      <c r="K42" s="165">
        <v>416.84</v>
      </c>
      <c r="L42" s="165">
        <f t="shared" si="1"/>
        <v>1798.4600000000003</v>
      </c>
      <c r="M42" s="218">
        <f t="shared" si="9"/>
        <v>5.314509164187698</v>
      </c>
      <c r="N42" s="157">
        <f>E42-липень!E42</f>
        <v>220</v>
      </c>
      <c r="O42" s="160">
        <f>F42-липень!F42</f>
        <v>9.980000000000018</v>
      </c>
      <c r="P42" s="167">
        <f>O42-N42</f>
        <v>-210.01999999999998</v>
      </c>
      <c r="Q42" s="165">
        <f aca="true" t="shared" si="11" ref="Q42:Q65">O42/N42*100</f>
        <v>4.536363636363645</v>
      </c>
      <c r="R42" s="37">
        <v>0</v>
      </c>
      <c r="S42" s="37">
        <f>O42-R42</f>
        <v>9.980000000000018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 aca="true" t="shared" si="12" ref="G43:G66">F43-E43</f>
        <v>-1231.9000000000015</v>
      </c>
      <c r="H43" s="164">
        <f t="shared" si="10"/>
        <v>93.61709844559584</v>
      </c>
      <c r="I43" s="165">
        <f aca="true" t="shared" si="13" ref="I43:I66">F43-D43</f>
        <v>-11931.900000000001</v>
      </c>
      <c r="J43" s="165">
        <f>F43/D43*100</f>
        <v>60.227</v>
      </c>
      <c r="K43" s="165">
        <v>20560.18</v>
      </c>
      <c r="L43" s="165">
        <f t="shared" si="1"/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 aca="true" t="shared" si="14" ref="P43:P66">O43-N43</f>
        <v>-624.5300000000007</v>
      </c>
      <c r="Q43" s="165">
        <f t="shared" si="11"/>
        <v>77.69535714285712</v>
      </c>
      <c r="R43" s="37">
        <v>2874.5</v>
      </c>
      <c r="S43" s="37">
        <f aca="true" t="shared" si="15" ref="S43:S66">O43-R43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 t="shared" si="12"/>
        <v>94.3</v>
      </c>
      <c r="H44" s="164">
        <f>F44/E44*100</f>
        <v>492.91666666666663</v>
      </c>
      <c r="I44" s="165">
        <f t="shared" si="13"/>
        <v>78.3</v>
      </c>
      <c r="J44" s="165">
        <f aca="true" t="shared" si="16" ref="J44:J65">F44/D44*100</f>
        <v>295.75</v>
      </c>
      <c r="K44" s="165">
        <v>28.07</v>
      </c>
      <c r="L44" s="165">
        <f t="shared" si="1"/>
        <v>90.22999999999999</v>
      </c>
      <c r="M44" s="218">
        <f aca="true" t="shared" si="17" ref="M44:M66">F44/K44</f>
        <v>4.214463840399002</v>
      </c>
      <c r="N44" s="157">
        <f>E44-липень!E44</f>
        <v>1</v>
      </c>
      <c r="O44" s="160">
        <f>F44-липень!F44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>F45/E45*100</f>
        <v>#DIV/0!</v>
      </c>
      <c r="I45" s="165">
        <f t="shared" si="13"/>
        <v>10.79</v>
      </c>
      <c r="J45" s="165" t="e">
        <f t="shared" si="16"/>
        <v>#DIV/0!</v>
      </c>
      <c r="K45" s="165">
        <v>0.1</v>
      </c>
      <c r="L45" s="165">
        <f t="shared" si="1"/>
        <v>10.69</v>
      </c>
      <c r="M45" s="218">
        <f t="shared" si="17"/>
        <v>107.89999999999999</v>
      </c>
      <c r="N45" s="157">
        <f>E45-липень!E45</f>
        <v>0</v>
      </c>
      <c r="O45" s="160">
        <f>F45-липень!F45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550.5</v>
      </c>
      <c r="G46" s="162">
        <f t="shared" si="12"/>
        <v>378.5</v>
      </c>
      <c r="H46" s="164">
        <f t="shared" si="10"/>
        <v>320.0581395348837</v>
      </c>
      <c r="I46" s="165">
        <f t="shared" si="13"/>
        <v>290.5</v>
      </c>
      <c r="J46" s="165">
        <f t="shared" si="16"/>
        <v>211.73076923076923</v>
      </c>
      <c r="K46" s="165">
        <v>195.12</v>
      </c>
      <c r="L46" s="165">
        <f t="shared" si="1"/>
        <v>355.38</v>
      </c>
      <c r="M46" s="218">
        <f t="shared" si="17"/>
        <v>2.821340713407134</v>
      </c>
      <c r="N46" s="157">
        <f>E46-липень!E46</f>
        <v>22</v>
      </c>
      <c r="O46" s="160">
        <f>F46-липень!F46</f>
        <v>4.899999999999977</v>
      </c>
      <c r="P46" s="167">
        <f t="shared" si="14"/>
        <v>-17.100000000000023</v>
      </c>
      <c r="Q46" s="165">
        <f t="shared" si="11"/>
        <v>22.27272727272717</v>
      </c>
      <c r="R46" s="37">
        <v>70</v>
      </c>
      <c r="S46" s="37">
        <f t="shared" si="15"/>
        <v>-65.10000000000002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71.03</v>
      </c>
      <c r="G47" s="162">
        <f t="shared" si="12"/>
        <v>3.030000000000001</v>
      </c>
      <c r="H47" s="164">
        <f t="shared" si="10"/>
        <v>104.45588235294119</v>
      </c>
      <c r="I47" s="165">
        <f t="shared" si="13"/>
        <v>-26.47</v>
      </c>
      <c r="J47" s="165">
        <f t="shared" si="16"/>
        <v>72.85128205128206</v>
      </c>
      <c r="K47" s="165">
        <v>41.15</v>
      </c>
      <c r="L47" s="165">
        <f t="shared" si="1"/>
        <v>29.880000000000003</v>
      </c>
      <c r="M47" s="218"/>
      <c r="N47" s="157">
        <f>E47-липень!E47</f>
        <v>6.799999999999997</v>
      </c>
      <c r="O47" s="160">
        <f>F47-липень!F47</f>
        <v>0</v>
      </c>
      <c r="P47" s="167">
        <f t="shared" si="14"/>
        <v>-6.799999999999997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722.9</v>
      </c>
      <c r="G48" s="162">
        <f t="shared" si="12"/>
        <v>142.89999999999998</v>
      </c>
      <c r="H48" s="164">
        <f t="shared" si="10"/>
        <v>124.63793103448275</v>
      </c>
      <c r="I48" s="165">
        <f t="shared" si="13"/>
        <v>-7.100000000000023</v>
      </c>
      <c r="J48" s="165">
        <f t="shared" si="16"/>
        <v>99.02739726027397</v>
      </c>
      <c r="K48" s="165">
        <v>328.11</v>
      </c>
      <c r="L48" s="165">
        <f t="shared" si="1"/>
        <v>394.78999999999996</v>
      </c>
      <c r="M48" s="218"/>
      <c r="N48" s="157">
        <f>E48-липень!E48</f>
        <v>60</v>
      </c>
      <c r="O48" s="160">
        <f>F48-липень!F48</f>
        <v>8.299999999999955</v>
      </c>
      <c r="P48" s="167">
        <f t="shared" si="14"/>
        <v>-51.700000000000045</v>
      </c>
      <c r="Q48" s="165">
        <f t="shared" si="11"/>
        <v>13.83333333333326</v>
      </c>
      <c r="R48" s="37">
        <v>100</v>
      </c>
      <c r="S48" s="37">
        <f t="shared" si="15"/>
        <v>-91.70000000000005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10960.1</v>
      </c>
      <c r="G50" s="162">
        <f t="shared" si="12"/>
        <v>3020.1000000000004</v>
      </c>
      <c r="H50" s="164">
        <f t="shared" si="10"/>
        <v>138.03652392947103</v>
      </c>
      <c r="I50" s="165">
        <f t="shared" si="13"/>
        <v>-39.899999999999636</v>
      </c>
      <c r="J50" s="165">
        <f t="shared" si="16"/>
        <v>99.63727272727273</v>
      </c>
      <c r="K50" s="165">
        <v>7062.64</v>
      </c>
      <c r="L50" s="165">
        <f t="shared" si="1"/>
        <v>3897.46</v>
      </c>
      <c r="M50" s="218">
        <f t="shared" si="17"/>
        <v>1.5518418041978637</v>
      </c>
      <c r="N50" s="157">
        <f>E50-липень!E50</f>
        <v>900</v>
      </c>
      <c r="O50" s="160">
        <f>F50-липень!F50</f>
        <v>176.10000000000036</v>
      </c>
      <c r="P50" s="167">
        <f t="shared" si="14"/>
        <v>-723.8999999999996</v>
      </c>
      <c r="Q50" s="165">
        <f t="shared" si="11"/>
        <v>19.566666666666706</v>
      </c>
      <c r="R50" s="37">
        <v>1400</v>
      </c>
      <c r="S50" s="37">
        <f t="shared" si="15"/>
        <v>-1223.8999999999996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311.8</v>
      </c>
      <c r="G51" s="162">
        <f t="shared" si="12"/>
        <v>101.80000000000001</v>
      </c>
      <c r="H51" s="164">
        <f t="shared" si="10"/>
        <v>148.47619047619048</v>
      </c>
      <c r="I51" s="165">
        <f t="shared" si="13"/>
        <v>1.8000000000000114</v>
      </c>
      <c r="J51" s="165">
        <f t="shared" si="16"/>
        <v>100.58064516129033</v>
      </c>
      <c r="K51" s="165">
        <v>168.26</v>
      </c>
      <c r="L51" s="165">
        <f t="shared" si="1"/>
        <v>143.54000000000002</v>
      </c>
      <c r="M51" s="218"/>
      <c r="N51" s="157">
        <f>E51-липень!E51</f>
        <v>35</v>
      </c>
      <c r="O51" s="160">
        <f>F51-липень!F51</f>
        <v>5.600000000000023</v>
      </c>
      <c r="P51" s="167">
        <f t="shared" si="14"/>
        <v>-29.399999999999977</v>
      </c>
      <c r="Q51" s="165">
        <f t="shared" si="11"/>
        <v>16.000000000000064</v>
      </c>
      <c r="R51" s="37">
        <v>40</v>
      </c>
      <c r="S51" s="37">
        <f t="shared" si="15"/>
        <v>-34.39999999999998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25.9</v>
      </c>
      <c r="G52" s="162">
        <f t="shared" si="12"/>
        <v>9.899999999999999</v>
      </c>
      <c r="H52" s="164">
        <f t="shared" si="10"/>
        <v>161.875</v>
      </c>
      <c r="I52" s="165">
        <f t="shared" si="13"/>
        <v>5.899999999999999</v>
      </c>
      <c r="J52" s="165">
        <f t="shared" si="16"/>
        <v>129.5</v>
      </c>
      <c r="K52" s="165">
        <v>15.44</v>
      </c>
      <c r="L52" s="165">
        <f t="shared" si="1"/>
        <v>10.459999999999999</v>
      </c>
      <c r="M52" s="218"/>
      <c r="N52" s="157">
        <f>E52-липень!E52</f>
        <v>4</v>
      </c>
      <c r="O52" s="160">
        <f>F52-липень!F52</f>
        <v>-0.020000000000003126</v>
      </c>
      <c r="P52" s="167">
        <f t="shared" si="14"/>
        <v>-4.020000000000003</v>
      </c>
      <c r="Q52" s="165">
        <f t="shared" si="11"/>
        <v>-0.5000000000000782</v>
      </c>
      <c r="R52" s="37">
        <v>4</v>
      </c>
      <c r="S52" s="37">
        <f t="shared" si="15"/>
        <v>-4.020000000000003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3786.14</v>
      </c>
      <c r="G53" s="162">
        <f t="shared" si="12"/>
        <v>-1068.8600000000001</v>
      </c>
      <c r="H53" s="164">
        <f t="shared" si="10"/>
        <v>77.98434603501545</v>
      </c>
      <c r="I53" s="165">
        <f t="shared" si="13"/>
        <v>-3488.86</v>
      </c>
      <c r="J53" s="165">
        <f t="shared" si="16"/>
        <v>52.04316151202749</v>
      </c>
      <c r="K53" s="165">
        <v>5068.19</v>
      </c>
      <c r="L53" s="165">
        <f t="shared" si="1"/>
        <v>-1282.0499999999997</v>
      </c>
      <c r="M53" s="218">
        <f t="shared" si="17"/>
        <v>0.7470398702495369</v>
      </c>
      <c r="N53" s="157">
        <f>E53-липень!E53</f>
        <v>605</v>
      </c>
      <c r="O53" s="160">
        <f>F53-липень!F53</f>
        <v>0</v>
      </c>
      <c r="P53" s="167">
        <f t="shared" si="14"/>
        <v>-605</v>
      </c>
      <c r="Q53" s="165">
        <f t="shared" si="11"/>
        <v>0</v>
      </c>
      <c r="R53" s="37">
        <v>550</v>
      </c>
      <c r="S53" s="37">
        <f t="shared" si="15"/>
        <v>-550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484.4</v>
      </c>
      <c r="G54" s="162">
        <f t="shared" si="12"/>
        <v>-305.6</v>
      </c>
      <c r="H54" s="164">
        <f t="shared" si="10"/>
        <v>61.31645569620253</v>
      </c>
      <c r="I54" s="165">
        <f t="shared" si="13"/>
        <v>-715.6</v>
      </c>
      <c r="J54" s="165">
        <f t="shared" si="16"/>
        <v>40.36666666666667</v>
      </c>
      <c r="K54" s="165">
        <v>4347.61</v>
      </c>
      <c r="L54" s="165">
        <f t="shared" si="1"/>
        <v>-3863.2099999999996</v>
      </c>
      <c r="M54" s="218">
        <f t="shared" si="17"/>
        <v>0.11141753745161134</v>
      </c>
      <c r="N54" s="157">
        <f>E54-липень!E54</f>
        <v>100</v>
      </c>
      <c r="O54" s="160">
        <f>F54-липень!F54</f>
        <v>5.099999999999966</v>
      </c>
      <c r="P54" s="167">
        <f t="shared" si="14"/>
        <v>-94.90000000000003</v>
      </c>
      <c r="Q54" s="165">
        <f t="shared" si="11"/>
        <v>5.099999999999966</v>
      </c>
      <c r="R54" s="37">
        <v>50</v>
      </c>
      <c r="S54" s="37">
        <f t="shared" si="15"/>
        <v>-44.900000000000034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 t="shared" si="12"/>
        <v>-172.04000000000002</v>
      </c>
      <c r="H55" s="30">
        <f t="shared" si="10"/>
        <v>70.33793103448276</v>
      </c>
      <c r="I55" s="104">
        <f t="shared" si="13"/>
        <v>-590.04</v>
      </c>
      <c r="J55" s="104">
        <f t="shared" si="16"/>
        <v>40.87775551102204</v>
      </c>
      <c r="K55" s="104">
        <v>570.13</v>
      </c>
      <c r="L55" s="104">
        <f>F55-K55</f>
        <v>-162.17000000000002</v>
      </c>
      <c r="M55" s="109">
        <f t="shared" si="17"/>
        <v>0.7155561012400681</v>
      </c>
      <c r="N55" s="157">
        <f>E55-липень!E55</f>
        <v>0</v>
      </c>
      <c r="O55" s="160">
        <f>F55-липень!F55</f>
        <v>0</v>
      </c>
      <c r="P55" s="106">
        <f t="shared" si="14"/>
        <v>0</v>
      </c>
      <c r="Q55" s="119" t="e">
        <f t="shared" si="11"/>
        <v>#DIV/0!</v>
      </c>
      <c r="R55" s="37"/>
      <c r="S55" s="37">
        <f t="shared" si="15"/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0.27</v>
      </c>
      <c r="L56" s="104">
        <f>F56-K56</f>
        <v>-0.12000000000000002</v>
      </c>
      <c r="M56" s="109">
        <f t="shared" si="17"/>
        <v>0.5555555555555555</v>
      </c>
      <c r="N56" s="157">
        <f>E56-липень!E56</f>
        <v>0</v>
      </c>
      <c r="O56" s="160">
        <f>F56-липень!F56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57">
        <f>E57-липень!E57</f>
        <v>0</v>
      </c>
      <c r="O57" s="160">
        <f>F57-липень!F57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 t="shared" si="12"/>
        <v>-40.86</v>
      </c>
      <c r="H58" s="30">
        <f t="shared" si="10"/>
        <v>62.85454545454545</v>
      </c>
      <c r="I58" s="104">
        <f t="shared" si="13"/>
        <v>-130.86</v>
      </c>
      <c r="J58" s="104">
        <f t="shared" si="16"/>
        <v>34.57</v>
      </c>
      <c r="K58" s="104">
        <v>3777.19</v>
      </c>
      <c r="L58" s="104">
        <f>F58-K58</f>
        <v>-3708.05</v>
      </c>
      <c r="M58" s="109">
        <f t="shared" si="17"/>
        <v>0.018304612688268263</v>
      </c>
      <c r="N58" s="157">
        <f>E58-липень!E58</f>
        <v>0</v>
      </c>
      <c r="O58" s="160">
        <f>F58-липень!F58</f>
        <v>0</v>
      </c>
      <c r="P58" s="106">
        <f t="shared" si="14"/>
        <v>0</v>
      </c>
      <c r="Q58" s="119" t="e">
        <f t="shared" si="11"/>
        <v>#DIV/0!</v>
      </c>
      <c r="R58" s="37"/>
      <c r="S58" s="37">
        <f t="shared" si="15"/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57">
        <f>E59-липень!E59</f>
        <v>0</v>
      </c>
      <c r="O59" s="160">
        <f>F59-липень!F59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5460.7</v>
      </c>
      <c r="G60" s="162">
        <f t="shared" si="12"/>
        <v>-599.3000000000002</v>
      </c>
      <c r="H60" s="164">
        <f t="shared" si="10"/>
        <v>90.11056105610561</v>
      </c>
      <c r="I60" s="165">
        <f t="shared" si="13"/>
        <v>-1889.3000000000002</v>
      </c>
      <c r="J60" s="165">
        <f t="shared" si="16"/>
        <v>74.29523809523809</v>
      </c>
      <c r="K60" s="165">
        <v>4601.83</v>
      </c>
      <c r="L60" s="165">
        <f aca="true" t="shared" si="18" ref="L60:L66">F60-K60</f>
        <v>858.8699999999999</v>
      </c>
      <c r="M60" s="218">
        <f t="shared" si="17"/>
        <v>1.186636620648742</v>
      </c>
      <c r="N60" s="157">
        <f>E60-липень!E60</f>
        <v>600</v>
      </c>
      <c r="O60" s="160">
        <f>F60-липень!F60</f>
        <v>22.5</v>
      </c>
      <c r="P60" s="167">
        <f t="shared" si="14"/>
        <v>-577.5</v>
      </c>
      <c r="Q60" s="165">
        <f t="shared" si="11"/>
        <v>3.75</v>
      </c>
      <c r="R60" s="37">
        <v>500</v>
      </c>
      <c r="S60" s="37">
        <f t="shared" si="15"/>
        <v>-477.5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>
        <v>0</v>
      </c>
      <c r="L61" s="165">
        <f t="shared" si="18"/>
        <v>0</v>
      </c>
      <c r="M61" s="218" t="e">
        <f t="shared" si="17"/>
        <v>#DIV/0!</v>
      </c>
      <c r="N61" s="157">
        <f>E61-липень!E61</f>
        <v>0</v>
      </c>
      <c r="O61" s="160">
        <f>F61-липень!F61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1238.3</v>
      </c>
      <c r="G62" s="162"/>
      <c r="H62" s="164"/>
      <c r="I62" s="165"/>
      <c r="J62" s="165"/>
      <c r="K62" s="166">
        <v>889.8</v>
      </c>
      <c r="L62" s="165">
        <f t="shared" si="18"/>
        <v>348.5</v>
      </c>
      <c r="M62" s="218">
        <f t="shared" si="17"/>
        <v>1.391661047426388</v>
      </c>
      <c r="N62" s="157">
        <f>E62-липень!E62</f>
        <v>0</v>
      </c>
      <c r="O62" s="160">
        <f>F62-липень!F62</f>
        <v>8.299999999999955</v>
      </c>
      <c r="P62" s="166"/>
      <c r="Q62" s="165"/>
      <c r="R62" s="37"/>
      <c r="S62" s="37">
        <f t="shared" si="15"/>
        <v>8.299999999999955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>
        <v>0</v>
      </c>
      <c r="L63" s="165">
        <f t="shared" si="18"/>
        <v>0</v>
      </c>
      <c r="M63" s="218" t="e">
        <f t="shared" si="17"/>
        <v>#DIV/0!</v>
      </c>
      <c r="N63" s="157">
        <f>E63-липень!E63</f>
        <v>0</v>
      </c>
      <c r="O63" s="160">
        <f>F63-липень!F63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 t="shared" si="12"/>
        <v>-19.86</v>
      </c>
      <c r="H64" s="164">
        <f t="shared" si="10"/>
        <v>75.175</v>
      </c>
      <c r="I64" s="165">
        <f t="shared" si="13"/>
        <v>-99.86</v>
      </c>
      <c r="J64" s="165">
        <f t="shared" si="16"/>
        <v>37.5875</v>
      </c>
      <c r="K64" s="165">
        <v>152.27</v>
      </c>
      <c r="L64" s="165">
        <f t="shared" si="18"/>
        <v>-92.13000000000001</v>
      </c>
      <c r="M64" s="218">
        <f t="shared" si="17"/>
        <v>0.3949563275760163</v>
      </c>
      <c r="N64" s="157">
        <f>E64-липень!E64</f>
        <v>30</v>
      </c>
      <c r="O64" s="160">
        <f>F64-липень!F64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 t="shared" si="12"/>
        <v>18.439999999999998</v>
      </c>
      <c r="H65" s="164">
        <f t="shared" si="10"/>
        <v>282.57425742574253</v>
      </c>
      <c r="I65" s="165">
        <f t="shared" si="13"/>
        <v>13.54</v>
      </c>
      <c r="J65" s="165">
        <f t="shared" si="16"/>
        <v>190.26666666666665</v>
      </c>
      <c r="K65" s="165">
        <v>13.42</v>
      </c>
      <c r="L65" s="165">
        <f t="shared" si="18"/>
        <v>15.12</v>
      </c>
      <c r="M65" s="218">
        <f t="shared" si="17"/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 t="shared" si="14"/>
        <v>-1.3000000000000007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1.03</v>
      </c>
      <c r="L66" s="165">
        <f t="shared" si="18"/>
        <v>-6.28</v>
      </c>
      <c r="M66" s="218">
        <f t="shared" si="17"/>
        <v>-5.097087378640777</v>
      </c>
      <c r="N66" s="157">
        <f>E66-липень!E66</f>
        <v>0</v>
      </c>
      <c r="O66" s="160">
        <f>F66-липень!F66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771833.56</v>
      </c>
      <c r="G67" s="151">
        <f>F67-E67</f>
        <v>-114565.23999999987</v>
      </c>
      <c r="H67" s="152">
        <f>F67/E67*100</f>
        <v>87.07520362166557</v>
      </c>
      <c r="I67" s="153">
        <f>F67-D67</f>
        <v>-585657.54</v>
      </c>
      <c r="J67" s="153">
        <f>F67/D67*100</f>
        <v>56.85735692852793</v>
      </c>
      <c r="K67" s="151">
        <f>K8+K41+K65+K66</f>
        <v>676523.55</v>
      </c>
      <c r="L67" s="153">
        <f>F67-K67</f>
        <v>95310.01000000001</v>
      </c>
      <c r="M67" s="219">
        <f>F67/K67</f>
        <v>1.1408820284231052</v>
      </c>
      <c r="N67" s="151">
        <f>N8+N41+N65+N66</f>
        <v>123856.1</v>
      </c>
      <c r="O67" s="151">
        <f>O8+O41+O65+O66</f>
        <v>5773.910000000002</v>
      </c>
      <c r="P67" s="155">
        <f>O67-N67</f>
        <v>-118082.19</v>
      </c>
      <c r="Q67" s="153">
        <f>O67/N67*100</f>
        <v>4.661788963159668</v>
      </c>
      <c r="R67" s="27">
        <f>R8+R41+R65+R66</f>
        <v>108115.7</v>
      </c>
      <c r="S67" s="280">
        <f>O67-R67</f>
        <v>-102341.79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 aca="true" t="shared" si="19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0" ref="G75:G87">F75-E75</f>
        <v>35.57</v>
      </c>
      <c r="H75" s="186"/>
      <c r="I75" s="187">
        <f aca="true" t="shared" si="21" ref="I75:I87">F75-D75</f>
        <v>35.57</v>
      </c>
      <c r="J75" s="187"/>
      <c r="K75" s="187"/>
      <c r="L75" s="187">
        <f>F75-K75</f>
        <v>35.57</v>
      </c>
      <c r="M75" s="209" t="e">
        <f t="shared" si="19"/>
        <v>#DIV/0!</v>
      </c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20"/>
        <v>-17996.23</v>
      </c>
      <c r="H76" s="164">
        <f>F76/E76*100</f>
        <v>0.020944444444444446</v>
      </c>
      <c r="I76" s="167">
        <f t="shared" si="21"/>
        <v>-104202.26</v>
      </c>
      <c r="J76" s="167">
        <f>F76/D76*100</f>
        <v>0.0036178328643745477</v>
      </c>
      <c r="K76" s="187">
        <v>1535.17</v>
      </c>
      <c r="L76" s="187">
        <f aca="true" t="shared" si="23" ref="L76:L89">F76-K76</f>
        <v>-1531.4</v>
      </c>
      <c r="M76" s="209">
        <f t="shared" si="19"/>
        <v>0.002455754085866712</v>
      </c>
      <c r="N76" s="157">
        <f>E76-липень!E76</f>
        <v>4500</v>
      </c>
      <c r="O76" s="160">
        <f>F76-липень!F76</f>
        <v>0</v>
      </c>
      <c r="P76" s="167">
        <f t="shared" si="22"/>
        <v>-4500</v>
      </c>
      <c r="Q76" s="167">
        <f>O76/N76*100</f>
        <v>0</v>
      </c>
      <c r="R76" s="38">
        <v>0</v>
      </c>
      <c r="S76" s="38">
        <f aca="true" t="shared" si="24" ref="S76:S87">O76-R76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20"/>
        <v>-16923.79</v>
      </c>
      <c r="H77" s="164">
        <f>F77/E77*100</f>
        <v>25.870389837932546</v>
      </c>
      <c r="I77" s="167">
        <f t="shared" si="21"/>
        <v>-48093.79</v>
      </c>
      <c r="J77" s="167">
        <f>F77/D77*100</f>
        <v>10.937425925925925</v>
      </c>
      <c r="K77" s="167">
        <v>6783.53</v>
      </c>
      <c r="L77" s="187">
        <f t="shared" si="23"/>
        <v>-877.3199999999997</v>
      </c>
      <c r="M77" s="209">
        <f t="shared" si="19"/>
        <v>0.870669105907986</v>
      </c>
      <c r="N77" s="157">
        <f>E77-липень!E77</f>
        <v>3600</v>
      </c>
      <c r="O77" s="160">
        <f>F77-липень!F77</f>
        <v>0</v>
      </c>
      <c r="P77" s="167">
        <f t="shared" si="22"/>
        <v>-3600</v>
      </c>
      <c r="Q77" s="167">
        <f>O77/N77*100</f>
        <v>0</v>
      </c>
      <c r="R77" s="38">
        <v>200</v>
      </c>
      <c r="S77" s="38">
        <f t="shared" si="24"/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6971.3</v>
      </c>
      <c r="G78" s="162">
        <f t="shared" si="20"/>
        <v>-16928.7</v>
      </c>
      <c r="H78" s="164">
        <f>F78/E78*100</f>
        <v>29.168619246861926</v>
      </c>
      <c r="I78" s="167">
        <f t="shared" si="21"/>
        <v>-72028.7</v>
      </c>
      <c r="J78" s="167">
        <f>F78/D78*100</f>
        <v>8.824430379746834</v>
      </c>
      <c r="K78" s="167">
        <v>10477.14</v>
      </c>
      <c r="L78" s="187">
        <f t="shared" si="23"/>
        <v>-3505.8399999999992</v>
      </c>
      <c r="M78" s="209">
        <f t="shared" si="19"/>
        <v>0.6653819649255427</v>
      </c>
      <c r="N78" s="157">
        <f>E78-липень!E78</f>
        <v>3850</v>
      </c>
      <c r="O78" s="160">
        <f>F78-липень!F78</f>
        <v>0</v>
      </c>
      <c r="P78" s="167">
        <f t="shared" si="22"/>
        <v>-3850</v>
      </c>
      <c r="Q78" s="167">
        <f>O78/N78*100</f>
        <v>0</v>
      </c>
      <c r="R78" s="38">
        <v>1500</v>
      </c>
      <c r="S78" s="38">
        <f t="shared" si="24"/>
        <v>-1500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8</v>
      </c>
      <c r="G79" s="162">
        <f t="shared" si="20"/>
        <v>0</v>
      </c>
      <c r="H79" s="164">
        <f>F79/E79*100</f>
        <v>100</v>
      </c>
      <c r="I79" s="167">
        <f t="shared" si="21"/>
        <v>-4</v>
      </c>
      <c r="J79" s="167">
        <f>F79/D79*100</f>
        <v>66.66666666666666</v>
      </c>
      <c r="K79" s="167">
        <v>6</v>
      </c>
      <c r="L79" s="187">
        <f t="shared" si="23"/>
        <v>2</v>
      </c>
      <c r="M79" s="209">
        <f t="shared" si="19"/>
        <v>1.3333333333333333</v>
      </c>
      <c r="N79" s="157">
        <f>E79-липень!E79</f>
        <v>1</v>
      </c>
      <c r="O79" s="160">
        <f>F79-липень!F79</f>
        <v>0</v>
      </c>
      <c r="P79" s="167">
        <f t="shared" si="22"/>
        <v>-1</v>
      </c>
      <c r="Q79" s="167">
        <f>O79/N79*100</f>
        <v>0</v>
      </c>
      <c r="R79" s="38">
        <v>1</v>
      </c>
      <c r="S79" s="38">
        <f t="shared" si="24"/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12889.28</v>
      </c>
      <c r="G80" s="185">
        <f t="shared" si="20"/>
        <v>-51848.72</v>
      </c>
      <c r="H80" s="186">
        <f>F80/E80*100</f>
        <v>19.909913806419723</v>
      </c>
      <c r="I80" s="187">
        <f t="shared" si="21"/>
        <v>-224328.75</v>
      </c>
      <c r="J80" s="187">
        <f>F80/D80*100</f>
        <v>5.433516162325436</v>
      </c>
      <c r="K80" s="167">
        <v>18801.84</v>
      </c>
      <c r="L80" s="187">
        <f t="shared" si="23"/>
        <v>-5912.5599999999995</v>
      </c>
      <c r="M80" s="209">
        <f t="shared" si="19"/>
        <v>0.6855329052901206</v>
      </c>
      <c r="N80" s="185">
        <f>N76+N77+N78+N79</f>
        <v>11951</v>
      </c>
      <c r="O80" s="189">
        <f>O76+O77+O78+O79</f>
        <v>0</v>
      </c>
      <c r="P80" s="187">
        <f t="shared" si="22"/>
        <v>-11951</v>
      </c>
      <c r="Q80" s="187">
        <f>O80/N80*100</f>
        <v>0</v>
      </c>
      <c r="R80" s="39">
        <f>SUM(R76:R79)</f>
        <v>1701</v>
      </c>
      <c r="S80" s="39">
        <f t="shared" si="24"/>
        <v>-1701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0"/>
        <v>34.14</v>
      </c>
      <c r="H81" s="164"/>
      <c r="I81" s="167">
        <f t="shared" si="21"/>
        <v>-1.8599999999999994</v>
      </c>
      <c r="J81" s="167"/>
      <c r="K81" s="187">
        <v>5.67</v>
      </c>
      <c r="L81" s="187">
        <f t="shared" si="23"/>
        <v>32.47</v>
      </c>
      <c r="M81" s="209">
        <f t="shared" si="19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2"/>
        <v>0</v>
      </c>
      <c r="Q81" s="167"/>
      <c r="R81" s="38">
        <v>1</v>
      </c>
      <c r="S81" s="38">
        <f t="shared" si="24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0"/>
        <v>0</v>
      </c>
      <c r="H82" s="164"/>
      <c r="I82" s="167">
        <f t="shared" si="21"/>
        <v>0</v>
      </c>
      <c r="J82" s="190"/>
      <c r="K82" s="167">
        <v>0</v>
      </c>
      <c r="L82" s="187">
        <f t="shared" si="23"/>
        <v>0</v>
      </c>
      <c r="M82" s="209" t="e">
        <f t="shared" si="19"/>
        <v>#DIV/0!</v>
      </c>
      <c r="N82" s="157">
        <f>E82-липень!E82</f>
        <v>0</v>
      </c>
      <c r="O82" s="160">
        <f>F82-липень!F82</f>
        <v>0</v>
      </c>
      <c r="P82" s="167">
        <f t="shared" si="22"/>
        <v>0</v>
      </c>
      <c r="Q82" s="190"/>
      <c r="R82" s="41"/>
      <c r="S82" s="38">
        <f t="shared" si="24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5113.9</v>
      </c>
      <c r="G83" s="162">
        <f t="shared" si="20"/>
        <v>-1279.300000000001</v>
      </c>
      <c r="H83" s="164">
        <f>F83/E83*100</f>
        <v>79.9896765313145</v>
      </c>
      <c r="I83" s="167">
        <f t="shared" si="21"/>
        <v>-3246.1000000000004</v>
      </c>
      <c r="J83" s="167">
        <f>F83/D83*100</f>
        <v>61.171052631578945</v>
      </c>
      <c r="K83" s="167">
        <v>6824.83</v>
      </c>
      <c r="L83" s="187">
        <f t="shared" si="23"/>
        <v>-1710.9300000000003</v>
      </c>
      <c r="M83" s="209">
        <f t="shared" si="19"/>
        <v>0.7493080413724591</v>
      </c>
      <c r="N83" s="157">
        <f>E83-липень!E83</f>
        <v>1882.4000000000005</v>
      </c>
      <c r="O83" s="160">
        <f>F83-липень!F83</f>
        <v>0.1999999999998181</v>
      </c>
      <c r="P83" s="167">
        <f>O83-N83</f>
        <v>-1882.2000000000007</v>
      </c>
      <c r="Q83" s="190">
        <f>O83/N83*100</f>
        <v>0.010624734381630793</v>
      </c>
      <c r="R83" s="41">
        <v>2850</v>
      </c>
      <c r="S83" s="288">
        <f t="shared" si="24"/>
        <v>-2849.8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0"/>
        <v>0.05</v>
      </c>
      <c r="H84" s="164"/>
      <c r="I84" s="167">
        <f t="shared" si="21"/>
        <v>0.05</v>
      </c>
      <c r="J84" s="167"/>
      <c r="K84" s="167">
        <v>1.09</v>
      </c>
      <c r="L84" s="187">
        <f t="shared" si="23"/>
        <v>-1.04</v>
      </c>
      <c r="M84" s="209">
        <f t="shared" si="19"/>
        <v>0.045871559633027525</v>
      </c>
      <c r="N84" s="157">
        <f>E84-липень!E84</f>
        <v>0</v>
      </c>
      <c r="O84" s="160">
        <f>F84-липень!F84</f>
        <v>0</v>
      </c>
      <c r="P84" s="167">
        <f t="shared" si="22"/>
        <v>0</v>
      </c>
      <c r="Q84" s="167"/>
      <c r="R84" s="38">
        <v>0</v>
      </c>
      <c r="S84" s="38">
        <f t="shared" si="24"/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5152.089999999999</v>
      </c>
      <c r="G85" s="183">
        <f>G81+G84+G82+G83</f>
        <v>-1245.110000000001</v>
      </c>
      <c r="H85" s="186">
        <f>F85/E85*100</f>
        <v>80.53664103045081</v>
      </c>
      <c r="I85" s="187">
        <f t="shared" si="21"/>
        <v>-3247.9100000000008</v>
      </c>
      <c r="J85" s="187">
        <f>F85/D85*100</f>
        <v>61.33440476190475</v>
      </c>
      <c r="K85" s="167">
        <v>6831.59</v>
      </c>
      <c r="L85" s="187">
        <f t="shared" si="23"/>
        <v>-1679.500000000001</v>
      </c>
      <c r="M85" s="209">
        <f t="shared" si="19"/>
        <v>0.7541567921962529</v>
      </c>
      <c r="N85" s="185">
        <f>N81+N84+N82+N83</f>
        <v>1882.4000000000005</v>
      </c>
      <c r="O85" s="189">
        <f>O81+O84+O82+O83</f>
        <v>0.1999999999998181</v>
      </c>
      <c r="P85" s="185">
        <f>P81+P84+P82+P83</f>
        <v>-1882.2000000000007</v>
      </c>
      <c r="Q85" s="187">
        <f>O85/N85*100</f>
        <v>0.010624734381630793</v>
      </c>
      <c r="R85" s="39">
        <f>SUM(R81:R84)</f>
        <v>2851</v>
      </c>
      <c r="S85" s="39">
        <f t="shared" si="24"/>
        <v>-2850.8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12.43</v>
      </c>
      <c r="G86" s="162">
        <f t="shared" si="20"/>
        <v>-13.970000000000002</v>
      </c>
      <c r="H86" s="164">
        <f>F86/E86*100</f>
        <v>47.08333333333333</v>
      </c>
      <c r="I86" s="167">
        <f t="shared" si="21"/>
        <v>-25.57</v>
      </c>
      <c r="J86" s="167">
        <f>F86/D86*100</f>
        <v>32.71052631578947</v>
      </c>
      <c r="K86" s="187">
        <v>19.38</v>
      </c>
      <c r="L86" s="187">
        <f t="shared" si="23"/>
        <v>-6.949999999999999</v>
      </c>
      <c r="M86" s="209">
        <f t="shared" si="19"/>
        <v>0.6413828689370485</v>
      </c>
      <c r="N86" s="157">
        <f>E86-липень!E86</f>
        <v>1.6000000000000014</v>
      </c>
      <c r="O86" s="160">
        <f>F86-липень!F86</f>
        <v>0</v>
      </c>
      <c r="P86" s="167">
        <f t="shared" si="22"/>
        <v>-1.6000000000000014</v>
      </c>
      <c r="Q86" s="167">
        <f>O86/N86</f>
        <v>0</v>
      </c>
      <c r="R86" s="38">
        <v>1.2</v>
      </c>
      <c r="S86" s="38">
        <f t="shared" si="24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20"/>
        <v>0</v>
      </c>
      <c r="H87" s="164"/>
      <c r="I87" s="167">
        <f t="shared" si="21"/>
        <v>0</v>
      </c>
      <c r="J87" s="167"/>
      <c r="K87" s="167">
        <v>18.76</v>
      </c>
      <c r="L87" s="187">
        <f t="shared" si="23"/>
        <v>-18.76</v>
      </c>
      <c r="M87" s="209">
        <f t="shared" si="19"/>
        <v>0</v>
      </c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4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18086.74</v>
      </c>
      <c r="G88" s="192">
        <f>F88-E88</f>
        <v>-53074.859999999986</v>
      </c>
      <c r="H88" s="193">
        <f>F88/E88*100</f>
        <v>25.41643245795486</v>
      </c>
      <c r="I88" s="194">
        <f>F88-D88</f>
        <v>-227569.29</v>
      </c>
      <c r="J88" s="194">
        <f>F88/D88*100</f>
        <v>7.362628143099113</v>
      </c>
      <c r="K88" s="191">
        <f>K74+K75+K80+K85+K86</f>
        <v>25648.99</v>
      </c>
      <c r="L88" s="187">
        <f t="shared" si="23"/>
        <v>-7562.25</v>
      </c>
      <c r="M88" s="209">
        <f t="shared" si="19"/>
        <v>0.7051638290630547</v>
      </c>
      <c r="N88" s="191">
        <f>N74+N75+N80+N85+N86</f>
        <v>13835.000000000002</v>
      </c>
      <c r="O88" s="191">
        <f>O74+O75+O80+O85+O86</f>
        <v>0.1999999999998181</v>
      </c>
      <c r="P88" s="194">
        <f t="shared" si="22"/>
        <v>-13834.800000000003</v>
      </c>
      <c r="Q88" s="194">
        <f>O88/N88*100</f>
        <v>0.0014456089627742543</v>
      </c>
      <c r="R88" s="27">
        <f>R80+R85+R86+R87</f>
        <v>4553.2</v>
      </c>
      <c r="S88" s="27">
        <f>S80+S85+S86+S87</f>
        <v>-4553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789920.3</v>
      </c>
      <c r="G89" s="192">
        <f>F89-E89</f>
        <v>-167640.09999999986</v>
      </c>
      <c r="H89" s="193">
        <f>F89/E89*100</f>
        <v>82.49299991937846</v>
      </c>
      <c r="I89" s="194">
        <f>F89-D89</f>
        <v>-813226.8300000001</v>
      </c>
      <c r="J89" s="194">
        <f>F89/D89*100</f>
        <v>49.27310071658862</v>
      </c>
      <c r="K89" s="194">
        <f>K67+K88</f>
        <v>702172.54</v>
      </c>
      <c r="L89" s="187">
        <f t="shared" si="23"/>
        <v>87747.76000000001</v>
      </c>
      <c r="M89" s="209">
        <f t="shared" si="19"/>
        <v>1.124966094515744</v>
      </c>
      <c r="N89" s="192">
        <f>N67+N88</f>
        <v>137691.1</v>
      </c>
      <c r="O89" s="192">
        <f>O67+O88</f>
        <v>5774.1100000000015</v>
      </c>
      <c r="P89" s="194">
        <f t="shared" si="22"/>
        <v>-131916.99</v>
      </c>
      <c r="Q89" s="194">
        <f>O89/N89*100</f>
        <v>4.193524490689668</v>
      </c>
      <c r="R89" s="27">
        <f>R67+R88</f>
        <v>112668.9</v>
      </c>
      <c r="S89" s="27">
        <f>S67+S88</f>
        <v>-106894.79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20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5904.1095000000005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42949</v>
      </c>
      <c r="D93" s="29">
        <v>1955.5</v>
      </c>
      <c r="G93" s="4" t="s">
        <v>58</v>
      </c>
      <c r="O93" s="306"/>
      <c r="P93" s="306"/>
    </row>
    <row r="94" spans="3:16" ht="15">
      <c r="C94" s="81">
        <v>42948</v>
      </c>
      <c r="D94" s="29">
        <v>3817.95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42947</v>
      </c>
      <c r="D95" s="29">
        <v>6459.1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0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1060.6000000000001</v>
      </c>
      <c r="G100" s="68">
        <f>G48+G51+G52</f>
        <v>254.6</v>
      </c>
      <c r="H100" s="69"/>
      <c r="I100" s="69"/>
      <c r="N100" s="29">
        <f>N48+N51+N52</f>
        <v>99</v>
      </c>
      <c r="O100" s="202">
        <f>O48+O51+O52</f>
        <v>13.879999999999974</v>
      </c>
      <c r="P100" s="29">
        <f>P48+P51+P52</f>
        <v>-85.12000000000003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731194.9300000002</v>
      </c>
      <c r="G102" s="29">
        <f>F102-E102</f>
        <v>-115108.86999999976</v>
      </c>
      <c r="H102" s="230">
        <f>F102/E102</f>
        <v>0.8639863486374517</v>
      </c>
      <c r="I102" s="29">
        <f>F102-D102</f>
        <v>-567853.6699999999</v>
      </c>
      <c r="J102" s="230">
        <f>F102/D102</f>
        <v>0.5628695723932116</v>
      </c>
      <c r="N102" s="29">
        <f>N9+N15+N17+N18+N19+N23+N42+N45+N65+N59</f>
        <v>118692.3</v>
      </c>
      <c r="O102" s="229">
        <f>O9+O15+O17+O18+O19+O23+O42+O45+O65+O59</f>
        <v>3375.9600000000023</v>
      </c>
      <c r="P102" s="29">
        <f>O102-N102</f>
        <v>-115316.34</v>
      </c>
      <c r="Q102" s="230">
        <f>O102/N102</f>
        <v>0.02844295712527268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40614.76</v>
      </c>
      <c r="G103" s="29">
        <f>G43+G44+G46+G48+G50+G51+G52+G53+G54+G60+G64+G47</f>
        <v>525.0099999999987</v>
      </c>
      <c r="H103" s="230">
        <f>F103/E103</f>
        <v>1.0129632123706198</v>
      </c>
      <c r="I103" s="29">
        <f>I43+I44+I46+I48+I50+I51+I52+I53+I54+I60+I64+I47</f>
        <v>-17822.490000000005</v>
      </c>
      <c r="J103" s="230">
        <f>F103/D103</f>
        <v>0.694952474654575</v>
      </c>
      <c r="K103" s="29">
        <f>K43+K44+K46+K48+K50+K51+K52+K53+K54+K60+K64+K47</f>
        <v>42568.869999999995</v>
      </c>
      <c r="L103" s="29">
        <f>L43+L44+L46+L48+L50+L51+L52+L53+L54+L60+L64+L47</f>
        <v>-1948.860000000001</v>
      </c>
      <c r="M103" s="29">
        <f>M43+M44+M46+M48+M50+M51+M52+M53+M54+M60+M64+M47</f>
        <v>11.027696713929906</v>
      </c>
      <c r="N103" s="29">
        <f>N43+N44+N46+N48+N50+N51+N52+N53+N54+N60+N64+N47+N66</f>
        <v>5163.8</v>
      </c>
      <c r="O103" s="229">
        <f>O43+O44+O46+O48+O50+O51+O52+O53+O54+O60+O64+O47+O66</f>
        <v>2397.9499999999994</v>
      </c>
      <c r="P103" s="29">
        <f>P43+P44+P46+P48+P50+P51+P52+P53+P54+P60+P64+P47</f>
        <v>-2765.850000000001</v>
      </c>
      <c r="Q103" s="230">
        <f>O103/N103</f>
        <v>0.4643770091792864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886398.7999999999</v>
      </c>
      <c r="F104" s="229">
        <f t="shared" si="25"/>
        <v>771809.6900000002</v>
      </c>
      <c r="G104" s="29">
        <f t="shared" si="25"/>
        <v>-114583.85999999977</v>
      </c>
      <c r="H104" s="230">
        <f>F104/E104</f>
        <v>0.8707251070285748</v>
      </c>
      <c r="I104" s="29">
        <f t="shared" si="25"/>
        <v>-585676.1599999999</v>
      </c>
      <c r="J104" s="230">
        <f>F104/D104</f>
        <v>0.5685559853762578</v>
      </c>
      <c r="K104" s="29">
        <f t="shared" si="25"/>
        <v>42568.869999999995</v>
      </c>
      <c r="L104" s="29">
        <f t="shared" si="25"/>
        <v>-1948.860000000001</v>
      </c>
      <c r="M104" s="29">
        <f t="shared" si="25"/>
        <v>11.027696713929906</v>
      </c>
      <c r="N104" s="29">
        <f t="shared" si="25"/>
        <v>123856.1</v>
      </c>
      <c r="O104" s="229">
        <f t="shared" si="25"/>
        <v>5773.910000000002</v>
      </c>
      <c r="P104" s="29">
        <f t="shared" si="25"/>
        <v>-118082.19</v>
      </c>
      <c r="Q104" s="230">
        <f>O104/N104</f>
        <v>0.04661788963159668</v>
      </c>
    </row>
    <row r="105" spans="4:19" ht="15" hidden="1">
      <c r="D105" s="29">
        <f>D67-D104</f>
        <v>0</v>
      </c>
      <c r="E105" s="29">
        <f aca="true" t="shared" si="26" ref="E105:R105">E67-E104</f>
        <v>0</v>
      </c>
      <c r="F105" s="29">
        <f t="shared" si="26"/>
        <v>23.869999999878928</v>
      </c>
      <c r="G105" s="29">
        <f t="shared" si="26"/>
        <v>18.61999999989348</v>
      </c>
      <c r="H105" s="230"/>
      <c r="I105" s="29">
        <f t="shared" si="26"/>
        <v>18.619999999878928</v>
      </c>
      <c r="J105" s="230"/>
      <c r="K105" s="29">
        <f>K67-K104</f>
        <v>633954.68</v>
      </c>
      <c r="L105" s="29">
        <f t="shared" si="26"/>
        <v>97258.87000000001</v>
      </c>
      <c r="M105" s="29">
        <f t="shared" si="26"/>
        <v>-9.8868146855068</v>
      </c>
      <c r="N105" s="29">
        <f t="shared" si="26"/>
        <v>0</v>
      </c>
      <c r="O105" s="29">
        <f t="shared" si="26"/>
        <v>0</v>
      </c>
      <c r="P105" s="29">
        <f t="shared" si="26"/>
        <v>0</v>
      </c>
      <c r="Q105" s="29"/>
      <c r="R105" s="29">
        <f t="shared" si="26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38341.06</v>
      </c>
      <c r="G111" s="192">
        <f>F111-E111</f>
        <v>-50922.59999999999</v>
      </c>
      <c r="H111" s="193">
        <f>F111/E111*100</f>
        <v>42.95259683503903</v>
      </c>
      <c r="I111" s="194">
        <f>F111-D111</f>
        <v>-279723.19</v>
      </c>
      <c r="J111" s="194">
        <f>F111/D111*100</f>
        <v>12.054501566900397</v>
      </c>
      <c r="K111" s="194">
        <v>3039.87</v>
      </c>
      <c r="L111" s="194">
        <f>F111-K111</f>
        <v>35301.189999999995</v>
      </c>
      <c r="M111" s="269">
        <f>F111/K111</f>
        <v>12.612730149644557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810174.6200000001</v>
      </c>
      <c r="G112" s="192">
        <f>F112-E112</f>
        <v>-165487.83999999985</v>
      </c>
      <c r="H112" s="193">
        <f>F112/E112*100</f>
        <v>83.03841269038887</v>
      </c>
      <c r="I112" s="194">
        <f>F112-D112</f>
        <v>-865380.73</v>
      </c>
      <c r="J112" s="194">
        <f>F112/D112*100</f>
        <v>48.35260261620125</v>
      </c>
      <c r="K112" s="194">
        <f>K89+K111</f>
        <v>705212.41</v>
      </c>
      <c r="L112" s="194">
        <f>F112-K112</f>
        <v>104962.21000000008</v>
      </c>
      <c r="M112" s="269">
        <f>F112/K112</f>
        <v>1.1488377239419256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1356003.7000000002</v>
      </c>
      <c r="G124" s="278">
        <f t="shared" si="28"/>
        <v>-170314.35999999987</v>
      </c>
      <c r="H124" s="277">
        <f t="shared" si="30"/>
        <v>88.84148956476346</v>
      </c>
      <c r="I124" s="279">
        <f t="shared" si="29"/>
        <v>-1542420.3399999999</v>
      </c>
      <c r="J124" s="279">
        <f t="shared" si="31"/>
        <v>46.784172408396124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 aca="true" t="shared" si="0" ref="G8:G40">F8-E8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 aca="true" t="shared" si="1" ref="L8:L54">F8-K8</f>
        <v>181765.80000000005</v>
      </c>
      <c r="M8" s="205">
        <f aca="true" t="shared" si="2" ref="M8:M31">F8/K8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 t="shared" si="0"/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 t="shared" si="1"/>
        <v>124233.38999999996</v>
      </c>
      <c r="M9" s="206">
        <f t="shared" si="2"/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 t="shared" si="0"/>
        <v>1079.4099999999744</v>
      </c>
      <c r="H10" s="30">
        <f aca="true" t="shared" si="3" ref="H10:H39">F10/E10*100</f>
        <v>100.28509962811138</v>
      </c>
      <c r="I10" s="104">
        <f aca="true" t="shared" si="4" ref="I10:I40">F10-D10</f>
        <v>-321629.59</v>
      </c>
      <c r="J10" s="104">
        <f aca="true" t="shared" si="5" ref="J10:J39">F10/D10*100</f>
        <v>54.13919953458992</v>
      </c>
      <c r="K10" s="106">
        <v>259105.9</v>
      </c>
      <c r="L10" s="106">
        <f t="shared" si="1"/>
        <v>120581.50999999998</v>
      </c>
      <c r="M10" s="207">
        <f t="shared" si="2"/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 aca="true" t="shared" si="6" ref="P10:P40">O10-N10</f>
        <v>-3401.350000000035</v>
      </c>
      <c r="Q10" s="104">
        <f aca="true" t="shared" si="7" ref="Q10:Q27">O10/N10*100</f>
        <v>94.38201968816063</v>
      </c>
      <c r="R10" s="37"/>
      <c r="S10" s="100">
        <f aca="true" t="shared" si="8" ref="S10:S35">O10-R10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 t="shared" si="0"/>
        <v>-3738.1699999999983</v>
      </c>
      <c r="H11" s="30">
        <f t="shared" si="3"/>
        <v>85.7756088280061</v>
      </c>
      <c r="I11" s="104">
        <f t="shared" si="4"/>
        <v>-23964.17</v>
      </c>
      <c r="J11" s="104">
        <f t="shared" si="5"/>
        <v>48.47079946673548</v>
      </c>
      <c r="K11" s="106">
        <v>21586.03</v>
      </c>
      <c r="L11" s="106">
        <f t="shared" si="1"/>
        <v>955.8000000000029</v>
      </c>
      <c r="M11" s="207">
        <f t="shared" si="2"/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 t="shared" si="6"/>
        <v>-624.0599999999977</v>
      </c>
      <c r="Q11" s="104">
        <f t="shared" si="7"/>
        <v>84.70441176470594</v>
      </c>
      <c r="R11" s="37"/>
      <c r="S11" s="100">
        <f t="shared" si="8"/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 t="shared" si="0"/>
        <v>1008.79</v>
      </c>
      <c r="H12" s="30">
        <f t="shared" si="3"/>
        <v>122.72049549549548</v>
      </c>
      <c r="I12" s="104">
        <f t="shared" si="4"/>
        <v>-2831.21</v>
      </c>
      <c r="J12" s="104">
        <f t="shared" si="5"/>
        <v>65.80664251207729</v>
      </c>
      <c r="K12" s="106">
        <v>5837.44</v>
      </c>
      <c r="L12" s="106">
        <f t="shared" si="1"/>
        <v>-388.64999999999964</v>
      </c>
      <c r="M12" s="207">
        <f t="shared" si="2"/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 t="shared" si="6"/>
        <v>335.7600000000002</v>
      </c>
      <c r="Q12" s="104">
        <f t="shared" si="7"/>
        <v>155.96000000000004</v>
      </c>
      <c r="R12" s="37"/>
      <c r="S12" s="100">
        <f t="shared" si="8"/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 t="shared" si="0"/>
        <v>-120.13000000000011</v>
      </c>
      <c r="H13" s="30">
        <f t="shared" si="3"/>
        <v>98.1631498470948</v>
      </c>
      <c r="I13" s="104">
        <f t="shared" si="4"/>
        <v>-2970.13</v>
      </c>
      <c r="J13" s="104">
        <f t="shared" si="5"/>
        <v>68.3692225772098</v>
      </c>
      <c r="K13" s="106">
        <v>6429.46</v>
      </c>
      <c r="L13" s="106">
        <f t="shared" si="1"/>
        <v>-9.590000000000146</v>
      </c>
      <c r="M13" s="207">
        <f t="shared" si="2"/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 t="shared" si="6"/>
        <v>-251.30000000000018</v>
      </c>
      <c r="Q13" s="104">
        <f t="shared" si="7"/>
        <v>87.3080808080808</v>
      </c>
      <c r="R13" s="37"/>
      <c r="S13" s="100">
        <f t="shared" si="8"/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 t="shared" si="0"/>
        <v>148.73000000000002</v>
      </c>
      <c r="H14" s="30">
        <f t="shared" si="3"/>
        <v>122.13244047619047</v>
      </c>
      <c r="I14" s="104">
        <f t="shared" si="4"/>
        <v>-331.27</v>
      </c>
      <c r="J14" s="104">
        <f t="shared" si="5"/>
        <v>71.24392361111111</v>
      </c>
      <c r="K14" s="106">
        <v>2450.88</v>
      </c>
      <c r="L14" s="106">
        <f t="shared" si="1"/>
        <v>-1630.15</v>
      </c>
      <c r="M14" s="207">
        <f t="shared" si="2"/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 t="shared" si="6"/>
        <v>17.200000000000045</v>
      </c>
      <c r="Q14" s="104">
        <f t="shared" si="7"/>
        <v>117.91666666666671</v>
      </c>
      <c r="R14" s="37"/>
      <c r="S14" s="100">
        <f t="shared" si="8"/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>F15/E15*100</f>
        <v>13.193548387096774</v>
      </c>
      <c r="I15" s="158">
        <f t="shared" si="4"/>
        <v>-506.01</v>
      </c>
      <c r="J15" s="158">
        <f>F15/D15*100</f>
        <v>8.165154264972777</v>
      </c>
      <c r="K15" s="161">
        <v>309.24</v>
      </c>
      <c r="L15" s="161">
        <f t="shared" si="1"/>
        <v>-264.25</v>
      </c>
      <c r="M15" s="208">
        <f t="shared" si="2"/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 t="shared" si="8"/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 t="shared" si="0"/>
        <v>-11699.699999999997</v>
      </c>
      <c r="H19" s="164">
        <f t="shared" si="3"/>
        <v>83.54472573839664</v>
      </c>
      <c r="I19" s="165">
        <f t="shared" si="4"/>
        <v>-70599.7</v>
      </c>
      <c r="J19" s="165">
        <f t="shared" si="5"/>
        <v>45.69253846153846</v>
      </c>
      <c r="K19" s="161">
        <v>54291.2</v>
      </c>
      <c r="L19" s="167">
        <f t="shared" si="1"/>
        <v>5109.100000000006</v>
      </c>
      <c r="M19" s="213">
        <f t="shared" si="2"/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 t="shared" si="6"/>
        <v>-6059.809999999998</v>
      </c>
      <c r="Q19" s="165">
        <f t="shared" si="7"/>
        <v>47.30600000000002</v>
      </c>
      <c r="R19" s="294">
        <v>8800</v>
      </c>
      <c r="S19" s="100">
        <f t="shared" si="8"/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 t="shared" si="0"/>
        <v>-6102</v>
      </c>
      <c r="H20" s="195">
        <f t="shared" si="3"/>
        <v>85.62544169611307</v>
      </c>
      <c r="I20" s="254">
        <f t="shared" si="4"/>
        <v>-40152</v>
      </c>
      <c r="J20" s="254">
        <f t="shared" si="5"/>
        <v>47.51372549019608</v>
      </c>
      <c r="K20" s="255">
        <v>54291.2</v>
      </c>
      <c r="L20" s="166">
        <f t="shared" si="1"/>
        <v>-17943.199999999997</v>
      </c>
      <c r="M20" s="256">
        <f t="shared" si="2"/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 t="shared" si="6"/>
        <v>-1437.2599999999984</v>
      </c>
      <c r="Q20" s="254">
        <f t="shared" si="7"/>
        <v>78.05709923664125</v>
      </c>
      <c r="R20" s="104">
        <v>4450</v>
      </c>
      <c r="S20" s="104">
        <f t="shared" si="8"/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 t="shared" si="0"/>
        <v>7076.229999999981</v>
      </c>
      <c r="H23" s="157">
        <f t="shared" si="3"/>
        <v>102.95718736992725</v>
      </c>
      <c r="I23" s="158">
        <f t="shared" si="4"/>
        <v>-154764.66999999998</v>
      </c>
      <c r="J23" s="158">
        <f t="shared" si="5"/>
        <v>61.417836756703124</v>
      </c>
      <c r="K23" s="158">
        <v>193690.84</v>
      </c>
      <c r="L23" s="161">
        <f t="shared" si="1"/>
        <v>52674.59</v>
      </c>
      <c r="M23" s="209">
        <f t="shared" si="2"/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 t="shared" si="6"/>
        <v>2896.7099999999627</v>
      </c>
      <c r="Q23" s="158">
        <f t="shared" si="7"/>
        <v>107.30301074509754</v>
      </c>
      <c r="R23" s="288">
        <f>R24+R33+R35</f>
        <v>22714</v>
      </c>
      <c r="S23" s="294">
        <f t="shared" si="8"/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 t="shared" si="0"/>
        <v>563.8000000000029</v>
      </c>
      <c r="H24" s="157">
        <f t="shared" si="3"/>
        <v>100.46955590405335</v>
      </c>
      <c r="I24" s="158">
        <f t="shared" si="4"/>
        <v>-85986.3</v>
      </c>
      <c r="J24" s="158">
        <f t="shared" si="5"/>
        <v>58.384530130044865</v>
      </c>
      <c r="K24" s="158">
        <v>105956.73</v>
      </c>
      <c r="L24" s="161">
        <f t="shared" si="1"/>
        <v>14677.970000000001</v>
      </c>
      <c r="M24" s="209">
        <f t="shared" si="2"/>
        <v>1.138527963254434</v>
      </c>
      <c r="N24" s="157">
        <f>E24-червень!E24</f>
        <v>21398</v>
      </c>
      <c r="O24" s="160">
        <f>F24-червень!F24</f>
        <v>21241.03</v>
      </c>
      <c r="P24" s="161">
        <f t="shared" si="6"/>
        <v>-156.97000000000116</v>
      </c>
      <c r="Q24" s="158">
        <f t="shared" si="7"/>
        <v>99.2664267688569</v>
      </c>
      <c r="R24" s="293">
        <f>R25+R28+R29</f>
        <v>15007</v>
      </c>
      <c r="S24" s="293">
        <f t="shared" si="8"/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 t="shared" si="0"/>
        <v>662.8999999999996</v>
      </c>
      <c r="H25" s="173">
        <f t="shared" si="3"/>
        <v>104.3614424538295</v>
      </c>
      <c r="I25" s="174">
        <f t="shared" si="4"/>
        <v>-6947</v>
      </c>
      <c r="J25" s="174">
        <f t="shared" si="5"/>
        <v>69.54272436318996</v>
      </c>
      <c r="K25" s="175">
        <v>13870.14</v>
      </c>
      <c r="L25" s="166">
        <f t="shared" si="1"/>
        <v>1991.8600000000006</v>
      </c>
      <c r="M25" s="215">
        <f t="shared" si="2"/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 t="shared" si="6"/>
        <v>-33.530000000000655</v>
      </c>
      <c r="Q25" s="174">
        <f t="shared" si="7"/>
        <v>99.30291060291059</v>
      </c>
      <c r="R25" s="104">
        <v>800</v>
      </c>
      <c r="S25" s="104">
        <f t="shared" si="8"/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 t="shared" si="0"/>
        <v>-764.45</v>
      </c>
      <c r="H26" s="199">
        <f t="shared" si="3"/>
        <v>34.099137931034484</v>
      </c>
      <c r="I26" s="200">
        <f t="shared" si="4"/>
        <v>-1426.75</v>
      </c>
      <c r="J26" s="200">
        <f t="shared" si="5"/>
        <v>21.706085715853593</v>
      </c>
      <c r="K26" s="200">
        <v>537.83</v>
      </c>
      <c r="L26" s="200">
        <f t="shared" si="1"/>
        <v>-142.28000000000003</v>
      </c>
      <c r="M26" s="228">
        <f t="shared" si="2"/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 t="shared" si="6"/>
        <v>-267.71</v>
      </c>
      <c r="Q26" s="200">
        <f t="shared" si="7"/>
        <v>40.5088888888889</v>
      </c>
      <c r="R26" s="104"/>
      <c r="S26" s="104">
        <f t="shared" si="8"/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 t="shared" si="0"/>
        <v>1315.789999999999</v>
      </c>
      <c r="H27" s="199">
        <f t="shared" si="3"/>
        <v>109.37232443675164</v>
      </c>
      <c r="I27" s="200">
        <f t="shared" si="4"/>
        <v>-5631.810000000001</v>
      </c>
      <c r="J27" s="200">
        <f t="shared" si="5"/>
        <v>73.16486155517542</v>
      </c>
      <c r="K27" s="200">
        <v>13332.31</v>
      </c>
      <c r="L27" s="200">
        <f t="shared" si="1"/>
        <v>2022.58</v>
      </c>
      <c r="M27" s="228">
        <f t="shared" si="2"/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 t="shared" si="6"/>
        <v>122.6299999999992</v>
      </c>
      <c r="Q27" s="200">
        <f t="shared" si="7"/>
        <v>102.81261467889907</v>
      </c>
      <c r="R27" s="104"/>
      <c r="S27" s="104">
        <f t="shared" si="8"/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 t="shared" si="0"/>
        <v>-297.6</v>
      </c>
      <c r="H28" s="173">
        <f t="shared" si="3"/>
        <v>-15.887850467289718</v>
      </c>
      <c r="I28" s="174">
        <f t="shared" si="4"/>
        <v>-860.8</v>
      </c>
      <c r="J28" s="174">
        <f t="shared" si="5"/>
        <v>-4.975609756097561</v>
      </c>
      <c r="K28" s="174">
        <v>478.8</v>
      </c>
      <c r="L28" s="174">
        <f t="shared" si="1"/>
        <v>-519.6</v>
      </c>
      <c r="M28" s="212">
        <f t="shared" si="2"/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 t="shared" si="6"/>
        <v>-74.57</v>
      </c>
      <c r="Q28" s="174">
        <f>O28/N28*100</f>
        <v>39.373983739837406</v>
      </c>
      <c r="R28" s="104">
        <v>-25</v>
      </c>
      <c r="S28" s="104">
        <f t="shared" si="8"/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 t="shared" si="0"/>
        <v>198.5</v>
      </c>
      <c r="H29" s="173">
        <f t="shared" si="3"/>
        <v>100.18974334464465</v>
      </c>
      <c r="I29" s="174">
        <f t="shared" si="4"/>
        <v>-78178.5</v>
      </c>
      <c r="J29" s="174">
        <f t="shared" si="5"/>
        <v>57.277640552592466</v>
      </c>
      <c r="K29" s="175">
        <v>91607.79</v>
      </c>
      <c r="L29" s="175">
        <f t="shared" si="1"/>
        <v>13205.710000000006</v>
      </c>
      <c r="M29" s="211">
        <f t="shared" si="2"/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 t="shared" si="6"/>
        <v>-48.86999999999534</v>
      </c>
      <c r="Q29" s="174">
        <f>O29/N29*100</f>
        <v>99.7031885818403</v>
      </c>
      <c r="R29" s="104">
        <v>14232</v>
      </c>
      <c r="S29" s="104">
        <f t="shared" si="8"/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 t="shared" si="0"/>
        <v>3081.6900000000023</v>
      </c>
      <c r="H30" s="199">
        <f t="shared" si="3"/>
        <v>109.41980742778543</v>
      </c>
      <c r="I30" s="200">
        <f t="shared" si="4"/>
        <v>-21736.309999999998</v>
      </c>
      <c r="J30" s="200">
        <f t="shared" si="5"/>
        <v>62.219404515669275</v>
      </c>
      <c r="K30" s="200">
        <v>29285.76</v>
      </c>
      <c r="L30" s="200">
        <f t="shared" si="1"/>
        <v>6510.930000000004</v>
      </c>
      <c r="M30" s="228">
        <f t="shared" si="2"/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 t="shared" si="6"/>
        <v>-796.2599999999984</v>
      </c>
      <c r="Q30" s="200">
        <f>O30/N30*100</f>
        <v>86.5836562763269</v>
      </c>
      <c r="R30" s="107"/>
      <c r="S30" s="100">
        <f t="shared" si="8"/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 t="shared" si="0"/>
        <v>-3451</v>
      </c>
      <c r="H31" s="199">
        <f t="shared" si="3"/>
        <v>95.20027816411682</v>
      </c>
      <c r="I31" s="200">
        <f t="shared" si="4"/>
        <v>-57010</v>
      </c>
      <c r="J31" s="200">
        <f t="shared" si="5"/>
        <v>54.558859866569954</v>
      </c>
      <c r="K31" s="200">
        <v>62322.03</v>
      </c>
      <c r="L31" s="200">
        <f t="shared" si="1"/>
        <v>6126.970000000001</v>
      </c>
      <c r="M31" s="228">
        <f t="shared" si="2"/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 t="shared" si="6"/>
        <v>179.58000000000175</v>
      </c>
      <c r="Q31" s="200">
        <f>O31/N31*100</f>
        <v>101.70541310541313</v>
      </c>
      <c r="R31" s="107"/>
      <c r="S31" s="100">
        <f t="shared" si="8"/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 t="shared" si="0"/>
        <v>30.85</v>
      </c>
      <c r="H33" s="157">
        <f t="shared" si="3"/>
        <v>155.48561151079136</v>
      </c>
      <c r="I33" s="158">
        <f t="shared" si="4"/>
        <v>-28.549999999999997</v>
      </c>
      <c r="J33" s="158">
        <f t="shared" si="5"/>
        <v>75.17391304347827</v>
      </c>
      <c r="K33" s="158">
        <v>65.62</v>
      </c>
      <c r="L33" s="158">
        <f t="shared" si="1"/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 t="shared" si="6"/>
        <v>-2.3800000000000026</v>
      </c>
      <c r="Q33" s="158">
        <f>O33/N33*100</f>
        <v>75.20833333333331</v>
      </c>
      <c r="R33" s="293">
        <v>7</v>
      </c>
      <c r="S33" s="293">
        <f t="shared" si="8"/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 t="shared" si="0"/>
        <v>-34.92</v>
      </c>
      <c r="H34" s="157"/>
      <c r="I34" s="158">
        <f t="shared" si="4"/>
        <v>-34.92</v>
      </c>
      <c r="J34" s="158"/>
      <c r="K34" s="158">
        <v>-138.73</v>
      </c>
      <c r="L34" s="158">
        <f t="shared" si="1"/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 t="shared" si="6"/>
        <v>-3.6000000000000014</v>
      </c>
      <c r="Q34" s="158"/>
      <c r="R34" s="293"/>
      <c r="S34" s="293">
        <f t="shared" si="8"/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 t="shared" si="0"/>
        <v>6516.300000000003</v>
      </c>
      <c r="H35" s="164">
        <f t="shared" si="3"/>
        <v>105.46840580147983</v>
      </c>
      <c r="I35" s="165">
        <f t="shared" si="4"/>
        <v>-68715.1</v>
      </c>
      <c r="J35" s="165">
        <f t="shared" si="5"/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 t="shared" si="6"/>
        <v>3059.6600000000035</v>
      </c>
      <c r="Q35" s="165">
        <f>O35/N35*100</f>
        <v>116.7588322287342</v>
      </c>
      <c r="R35" s="293">
        <v>7700</v>
      </c>
      <c r="S35" s="293">
        <f t="shared" si="8"/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 t="shared" si="0"/>
        <v>685.7799999999988</v>
      </c>
      <c r="H37" s="105">
        <f t="shared" si="3"/>
        <v>102.94705629565964</v>
      </c>
      <c r="I37" s="104">
        <f t="shared" si="4"/>
        <v>-17044.22</v>
      </c>
      <c r="J37" s="104">
        <f t="shared" si="5"/>
        <v>58.42873170731707</v>
      </c>
      <c r="K37" s="127">
        <v>21754.51</v>
      </c>
      <c r="L37" s="127">
        <f t="shared" si="1"/>
        <v>2201.2700000000004</v>
      </c>
      <c r="M37" s="216">
        <f t="shared" si="9"/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 t="shared" si="6"/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 t="shared" si="0"/>
        <v>4988.110000000001</v>
      </c>
      <c r="H38" s="105">
        <f t="shared" si="3"/>
        <v>105.20353640726059</v>
      </c>
      <c r="I38" s="104">
        <f t="shared" si="4"/>
        <v>-52490.990000000005</v>
      </c>
      <c r="J38" s="104">
        <f t="shared" si="5"/>
        <v>65.76803307179969</v>
      </c>
      <c r="K38" s="127">
        <v>66031.82</v>
      </c>
      <c r="L38" s="127">
        <f t="shared" si="1"/>
        <v>34816.28999999999</v>
      </c>
      <c r="M38" s="216">
        <f t="shared" si="9"/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 t="shared" si="6"/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 t="shared" si="0"/>
        <v>-2.6300000000000026</v>
      </c>
      <c r="H39" s="105">
        <f t="shared" si="3"/>
        <v>91.95718654434249</v>
      </c>
      <c r="I39" s="104">
        <f t="shared" si="4"/>
        <v>-24.93</v>
      </c>
      <c r="J39" s="104">
        <f t="shared" si="5"/>
        <v>54.67272727272727</v>
      </c>
      <c r="K39" s="127">
        <v>20.52</v>
      </c>
      <c r="L39" s="127">
        <f t="shared" si="1"/>
        <v>9.55</v>
      </c>
      <c r="M39" s="216">
        <f t="shared" si="9"/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 t="shared" si="6"/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 t="shared" si="1"/>
        <v>3677.3099999999977</v>
      </c>
      <c r="M41" s="205">
        <f t="shared" si="9"/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 aca="true" t="shared" si="10" ref="H42:H65"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 t="shared" si="1"/>
        <v>1963.9300000000003</v>
      </c>
      <c r="M42" s="218">
        <f t="shared" si="9"/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 aca="true" t="shared" si="11" ref="Q42:Q65">O42/N42*100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>F44/E44*100</f>
        <v>514.3478260869565</v>
      </c>
      <c r="I44" s="165">
        <f t="shared" si="13"/>
        <v>78.3</v>
      </c>
      <c r="J44" s="165">
        <f aca="true" t="shared" si="16" ref="J44:J65">F44/D44*100</f>
        <v>295.75</v>
      </c>
      <c r="K44" s="165">
        <v>28.07</v>
      </c>
      <c r="L44" s="165">
        <f t="shared" si="1"/>
        <v>90.22999999999999</v>
      </c>
      <c r="M44" s="218">
        <f aca="true" t="shared" si="17" ref="M44:M66">F44/K44</f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4"/>
        <v>14.5</v>
      </c>
      <c r="Q44" s="165">
        <f t="shared" si="11"/>
        <v>1550</v>
      </c>
      <c r="R44" s="37">
        <v>10</v>
      </c>
      <c r="S44" s="37">
        <f t="shared" si="15"/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>F45/E45*100</f>
        <v>#DIV/0!</v>
      </c>
      <c r="I45" s="165">
        <f t="shared" si="13"/>
        <v>10.79</v>
      </c>
      <c r="J45" s="165" t="e">
        <f t="shared" si="16"/>
        <v>#DIV/0!</v>
      </c>
      <c r="K45" s="165">
        <v>0.1</v>
      </c>
      <c r="L45" s="165">
        <f t="shared" si="1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4"/>
        <v>8.76</v>
      </c>
      <c r="Q45" s="165" t="e">
        <f t="shared" si="11"/>
        <v>#DIV/0!</v>
      </c>
      <c r="R45" s="37">
        <v>0</v>
      </c>
      <c r="S45" s="37">
        <f t="shared" si="15"/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 t="shared" si="12"/>
        <v>395.6</v>
      </c>
      <c r="H46" s="164">
        <f t="shared" si="10"/>
        <v>363.73333333333335</v>
      </c>
      <c r="I46" s="165">
        <f t="shared" si="13"/>
        <v>285.6</v>
      </c>
      <c r="J46" s="165">
        <f t="shared" si="16"/>
        <v>209.84615384615384</v>
      </c>
      <c r="K46" s="165">
        <v>187.96</v>
      </c>
      <c r="L46" s="165">
        <f t="shared" si="1"/>
        <v>357.64</v>
      </c>
      <c r="M46" s="218">
        <f t="shared" si="17"/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 t="shared" si="14"/>
        <v>22.07000000000005</v>
      </c>
      <c r="Q46" s="165">
        <f t="shared" si="11"/>
        <v>200.31818181818207</v>
      </c>
      <c r="R46" s="37">
        <v>70</v>
      </c>
      <c r="S46" s="37">
        <f t="shared" si="15"/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0"/>
        <v>116.06209150326796</v>
      </c>
      <c r="I47" s="165">
        <f t="shared" si="13"/>
        <v>-26.47</v>
      </c>
      <c r="J47" s="165">
        <f t="shared" si="16"/>
        <v>72.85128205128206</v>
      </c>
      <c r="K47" s="165">
        <v>27.48</v>
      </c>
      <c r="L47" s="165">
        <f t="shared" si="1"/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 t="shared" si="14"/>
        <v>-13.580000000000005</v>
      </c>
      <c r="Q47" s="165">
        <f t="shared" si="11"/>
        <v>0.1470588235293825</v>
      </c>
      <c r="R47" s="37">
        <v>0</v>
      </c>
      <c r="S47" s="37">
        <f t="shared" si="15"/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0"/>
        <v>137.42307692307693</v>
      </c>
      <c r="I48" s="165">
        <f t="shared" si="13"/>
        <v>-15.399999999999977</v>
      </c>
      <c r="J48" s="165">
        <f t="shared" si="16"/>
        <v>97.89041095890411</v>
      </c>
      <c r="K48" s="165">
        <v>248.37</v>
      </c>
      <c r="L48" s="165">
        <f t="shared" si="1"/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 t="shared" si="14"/>
        <v>25.680000000000064</v>
      </c>
      <c r="Q48" s="165">
        <f t="shared" si="11"/>
        <v>142.8000000000001</v>
      </c>
      <c r="R48" s="37">
        <v>100</v>
      </c>
      <c r="S48" s="37">
        <f t="shared" si="15"/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 t="shared" si="15"/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 t="shared" si="12"/>
        <v>3744</v>
      </c>
      <c r="H50" s="164">
        <f t="shared" si="10"/>
        <v>153.1818181818182</v>
      </c>
      <c r="I50" s="165">
        <f t="shared" si="13"/>
        <v>-216</v>
      </c>
      <c r="J50" s="165">
        <f t="shared" si="16"/>
        <v>98.03636363636363</v>
      </c>
      <c r="K50" s="165">
        <v>6090.63</v>
      </c>
      <c r="L50" s="165">
        <f t="shared" si="1"/>
        <v>4693.37</v>
      </c>
      <c r="M50" s="218">
        <f t="shared" si="17"/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 t="shared" si="14"/>
        <v>1419.6900000000005</v>
      </c>
      <c r="Q50" s="165">
        <f t="shared" si="11"/>
        <v>241.96900000000005</v>
      </c>
      <c r="R50" s="37">
        <v>1400</v>
      </c>
      <c r="S50" s="37">
        <f t="shared" si="15"/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 t="shared" si="12"/>
        <v>131.2</v>
      </c>
      <c r="H51" s="164">
        <f t="shared" si="10"/>
        <v>174.97142857142856</v>
      </c>
      <c r="I51" s="165">
        <f t="shared" si="13"/>
        <v>-3.8000000000000114</v>
      </c>
      <c r="J51" s="165">
        <f t="shared" si="16"/>
        <v>98.77419354838709</v>
      </c>
      <c r="K51" s="165">
        <v>117.39</v>
      </c>
      <c r="L51" s="165">
        <f t="shared" si="1"/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 t="shared" si="14"/>
        <v>18.389999999999986</v>
      </c>
      <c r="Q51" s="165">
        <f t="shared" si="11"/>
        <v>173.55999999999995</v>
      </c>
      <c r="R51" s="37">
        <v>40</v>
      </c>
      <c r="S51" s="37">
        <f t="shared" si="15"/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0"/>
        <v>89.08564705882353</v>
      </c>
      <c r="I53" s="165">
        <f t="shared" si="13"/>
        <v>-3488.86</v>
      </c>
      <c r="J53" s="165">
        <f t="shared" si="16"/>
        <v>52.04316151202749</v>
      </c>
      <c r="K53" s="165">
        <v>4498</v>
      </c>
      <c r="L53" s="165">
        <f t="shared" si="1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4"/>
        <v>-86.21000000000004</v>
      </c>
      <c r="Q53" s="165">
        <f t="shared" si="11"/>
        <v>85.75041322314048</v>
      </c>
      <c r="R53" s="37">
        <v>550</v>
      </c>
      <c r="S53" s="37">
        <f t="shared" si="15"/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 t="shared" si="12"/>
        <v>-210.7</v>
      </c>
      <c r="H54" s="164">
        <f t="shared" si="10"/>
        <v>69.46376811594203</v>
      </c>
      <c r="I54" s="165">
        <f t="shared" si="13"/>
        <v>-720.7</v>
      </c>
      <c r="J54" s="165">
        <f t="shared" si="16"/>
        <v>39.94166666666667</v>
      </c>
      <c r="K54" s="165">
        <v>3724.79</v>
      </c>
      <c r="L54" s="165">
        <f t="shared" si="1"/>
        <v>-3245.49</v>
      </c>
      <c r="M54" s="218">
        <f t="shared" si="17"/>
        <v>0.12867839529208358</v>
      </c>
      <c r="N54" s="164">
        <f>E54-червень!E54</f>
        <v>120</v>
      </c>
      <c r="O54" s="168">
        <f>F54-червень!F54</f>
        <v>90.88</v>
      </c>
      <c r="P54" s="167">
        <f t="shared" si="14"/>
        <v>-29.120000000000005</v>
      </c>
      <c r="Q54" s="165">
        <f t="shared" si="11"/>
        <v>75.73333333333333</v>
      </c>
      <c r="R54" s="37">
        <v>50</v>
      </c>
      <c r="S54" s="37">
        <f t="shared" si="15"/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 t="shared" si="12"/>
        <v>-172.04000000000002</v>
      </c>
      <c r="H55" s="30">
        <f t="shared" si="10"/>
        <v>70.33793103448276</v>
      </c>
      <c r="I55" s="104">
        <f t="shared" si="13"/>
        <v>-590.04</v>
      </c>
      <c r="J55" s="104">
        <f t="shared" si="16"/>
        <v>40.87775551102204</v>
      </c>
      <c r="K55" s="104">
        <v>504.14</v>
      </c>
      <c r="L55" s="104">
        <f>F55-K55</f>
        <v>-96.18</v>
      </c>
      <c r="M55" s="109">
        <f t="shared" si="17"/>
        <v>0.8092196612052207</v>
      </c>
      <c r="N55" s="105">
        <f>E55-червень!E55</f>
        <v>100</v>
      </c>
      <c r="O55" s="144">
        <f>F55-червень!F55</f>
        <v>75.43</v>
      </c>
      <c r="P55" s="106">
        <f t="shared" si="14"/>
        <v>-24.569999999999993</v>
      </c>
      <c r="Q55" s="119">
        <f t="shared" si="11"/>
        <v>75.43</v>
      </c>
      <c r="R55" s="37"/>
      <c r="S55" s="37">
        <f t="shared" si="15"/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 t="shared" si="12"/>
        <v>-40.86</v>
      </c>
      <c r="H58" s="30">
        <f t="shared" si="10"/>
        <v>62.85454545454545</v>
      </c>
      <c r="I58" s="104">
        <f t="shared" si="13"/>
        <v>-130.86</v>
      </c>
      <c r="J58" s="104">
        <f t="shared" si="16"/>
        <v>34.57</v>
      </c>
      <c r="K58" s="104">
        <v>3220.38</v>
      </c>
      <c r="L58" s="104">
        <f>F58-K58</f>
        <v>-3151.2400000000002</v>
      </c>
      <c r="M58" s="109">
        <f t="shared" si="17"/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 t="shared" si="14"/>
        <v>-6.600000000000001</v>
      </c>
      <c r="Q58" s="119">
        <f t="shared" si="11"/>
        <v>67</v>
      </c>
      <c r="R58" s="37"/>
      <c r="S58" s="37">
        <f t="shared" si="15"/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0"/>
        <v>99.6007326007326</v>
      </c>
      <c r="I60" s="165">
        <f t="shared" si="13"/>
        <v>-1911.8000000000002</v>
      </c>
      <c r="J60" s="165">
        <f t="shared" si="16"/>
        <v>73.9891156462585</v>
      </c>
      <c r="K60" s="165">
        <v>4261.9</v>
      </c>
      <c r="L60" s="165">
        <f aca="true" t="shared" si="18" ref="L60:L66">F60-K60</f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4"/>
        <v>3.4200000000000728</v>
      </c>
      <c r="Q60" s="165">
        <f t="shared" si="11"/>
        <v>100.57000000000001</v>
      </c>
      <c r="R60" s="37">
        <v>500</v>
      </c>
      <c r="S60" s="37">
        <f t="shared" si="15"/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 t="shared" si="18"/>
        <v>498.53999999999996</v>
      </c>
      <c r="M62" s="218">
        <f t="shared" si="17"/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 t="shared" si="15"/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0"/>
        <v>120.28000000000002</v>
      </c>
      <c r="I64" s="165">
        <f t="shared" si="13"/>
        <v>-99.86</v>
      </c>
      <c r="J64" s="165">
        <f t="shared" si="16"/>
        <v>37.5875</v>
      </c>
      <c r="K64" s="165">
        <v>78.18</v>
      </c>
      <c r="L64" s="165">
        <f t="shared" si="18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4"/>
        <v>-24.5</v>
      </c>
      <c r="Q64" s="165"/>
      <c r="R64" s="37">
        <v>0</v>
      </c>
      <c r="S64" s="37">
        <f t="shared" si="15"/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0"/>
        <v>324.31818181818176</v>
      </c>
      <c r="I65" s="165">
        <f t="shared" si="13"/>
        <v>13.54</v>
      </c>
      <c r="J65" s="165">
        <f t="shared" si="16"/>
        <v>190.26666666666665</v>
      </c>
      <c r="K65" s="165">
        <v>13.52</v>
      </c>
      <c r="L65" s="165">
        <f t="shared" si="18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4"/>
        <v>1.959999999999999</v>
      </c>
      <c r="Q65" s="165">
        <f t="shared" si="11"/>
        <v>263.3333333333331</v>
      </c>
      <c r="R65" s="37">
        <v>3.2</v>
      </c>
      <c r="S65" s="37">
        <f t="shared" si="15"/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 t="shared" si="19"/>
        <v>-13496.23</v>
      </c>
      <c r="H76" s="164">
        <f>F76/E76*100</f>
        <v>0.027925925925925927</v>
      </c>
      <c r="I76" s="167">
        <f t="shared" si="20"/>
        <v>-104202.26</v>
      </c>
      <c r="J76" s="167">
        <f>F76/D76*100</f>
        <v>0.0036178328643745477</v>
      </c>
      <c r="K76" s="167">
        <v>1535.06</v>
      </c>
      <c r="L76" s="167">
        <f t="shared" si="21"/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2"/>
        <v>-4499.95</v>
      </c>
      <c r="Q76" s="167">
        <f>O76/N76*100</f>
        <v>0.001111111111111107</v>
      </c>
      <c r="R76" s="38">
        <v>0</v>
      </c>
      <c r="S76" s="38">
        <f aca="true" t="shared" si="23" ref="S76:S87">O76-R76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t="shared" si="19"/>
        <v>-13323.79</v>
      </c>
      <c r="H77" s="164">
        <f>F77/E77*100</f>
        <v>30.71352054082163</v>
      </c>
      <c r="I77" s="167">
        <f t="shared" si="20"/>
        <v>-48093.79</v>
      </c>
      <c r="J77" s="167">
        <f>F77/D77*100</f>
        <v>10.937425925925925</v>
      </c>
      <c r="K77" s="167">
        <v>6751.5</v>
      </c>
      <c r="L77" s="167">
        <f t="shared" si="21"/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2"/>
        <v>689.0599999999995</v>
      </c>
      <c r="Q77" s="167">
        <f>O77/N77*100</f>
        <v>119.14055555555554</v>
      </c>
      <c r="R77" s="38">
        <v>200</v>
      </c>
      <c r="S77" s="38">
        <f t="shared" si="23"/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19"/>
        <v>-13078.7</v>
      </c>
      <c r="H78" s="164">
        <f>F78/E78*100</f>
        <v>34.76957605985038</v>
      </c>
      <c r="I78" s="167">
        <f t="shared" si="20"/>
        <v>-72028.7</v>
      </c>
      <c r="J78" s="167">
        <f>F78/D78*100</f>
        <v>8.824430379746834</v>
      </c>
      <c r="K78" s="167">
        <v>9509.69</v>
      </c>
      <c r="L78" s="167">
        <f t="shared" si="21"/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2"/>
        <v>-3446.92</v>
      </c>
      <c r="Q78" s="167">
        <f>O78/N78*100</f>
        <v>10.469610389610388</v>
      </c>
      <c r="R78" s="38">
        <v>1500</v>
      </c>
      <c r="S78" s="38">
        <f t="shared" si="23"/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 t="shared" si="19"/>
        <v>-39897.72</v>
      </c>
      <c r="H80" s="186">
        <f>F80/E80*100</f>
        <v>24.417527042643076</v>
      </c>
      <c r="I80" s="187">
        <f t="shared" si="20"/>
        <v>-224328.75</v>
      </c>
      <c r="J80" s="187">
        <f>F80/D80*100</f>
        <v>5.433516162325436</v>
      </c>
      <c r="K80" s="187">
        <v>17802.25</v>
      </c>
      <c r="L80" s="187">
        <f t="shared" si="21"/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 t="shared" si="22"/>
        <v>-7257.81</v>
      </c>
      <c r="Q80" s="187">
        <f>O80/N80*100</f>
        <v>39.27027027027027</v>
      </c>
      <c r="R80" s="39">
        <f>SUM(R76:R79)</f>
        <v>1701</v>
      </c>
      <c r="S80" s="39">
        <f t="shared" si="23"/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19"/>
        <v>34.14</v>
      </c>
      <c r="H81" s="164"/>
      <c r="I81" s="167">
        <f t="shared" si="20"/>
        <v>-1.8599999999999994</v>
      </c>
      <c r="J81" s="167"/>
      <c r="K81" s="167">
        <v>5.21</v>
      </c>
      <c r="L81" s="167">
        <f t="shared" si="21"/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2"/>
        <v>2.8299999999999983</v>
      </c>
      <c r="Q81" s="167"/>
      <c r="R81" s="38">
        <v>1</v>
      </c>
      <c r="S81" s="38">
        <f t="shared" si="23"/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19"/>
        <v>602.8999999999996</v>
      </c>
      <c r="H83" s="164">
        <f>F83/E83*100</f>
        <v>113.36570009754365</v>
      </c>
      <c r="I83" s="167">
        <f t="shared" si="20"/>
        <v>-3246.3</v>
      </c>
      <c r="J83" s="167">
        <f>F83/D83*100</f>
        <v>61.16866028708133</v>
      </c>
      <c r="K83" s="167">
        <v>4902.34</v>
      </c>
      <c r="L83" s="167">
        <f t="shared" si="21"/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 t="shared" si="23"/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 t="shared" si="20"/>
        <v>-3248.1100000000006</v>
      </c>
      <c r="J85" s="187">
        <f>F85/D85*100</f>
        <v>61.332023809523804</v>
      </c>
      <c r="K85" s="187">
        <v>4908.48</v>
      </c>
      <c r="L85" s="187">
        <f t="shared" si="21"/>
        <v>243.40999999999985</v>
      </c>
      <c r="M85" s="220">
        <f t="shared" si="24"/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 t="shared" si="23"/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19"/>
        <v>-12.370000000000001</v>
      </c>
      <c r="H86" s="164">
        <f>F86/E86*100</f>
        <v>50.12096774193549</v>
      </c>
      <c r="I86" s="167">
        <f t="shared" si="20"/>
        <v>-25.57</v>
      </c>
      <c r="J86" s="167">
        <f>F86/D86*100</f>
        <v>32.71052631578947</v>
      </c>
      <c r="K86" s="167">
        <v>18.76</v>
      </c>
      <c r="L86" s="167">
        <f t="shared" si="21"/>
        <v>-6.330000000000002</v>
      </c>
      <c r="M86" s="209">
        <f t="shared" si="24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2"/>
        <v>3.1899999999999995</v>
      </c>
      <c r="Q86" s="167">
        <f>O86/N86</f>
        <v>3.1266666666666665</v>
      </c>
      <c r="R86" s="38">
        <v>1.2</v>
      </c>
      <c r="S86" s="38">
        <f t="shared" si="23"/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 t="shared" si="24"/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 t="shared" si="22"/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 t="shared" si="24"/>
        <v>1.299686270469516</v>
      </c>
      <c r="N89" s="192">
        <f>N67+N88</f>
        <v>135699.70000000004</v>
      </c>
      <c r="O89" s="192">
        <f>O67+O88</f>
        <v>127221.33999999997</v>
      </c>
      <c r="P89" s="194">
        <f t="shared" si="22"/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0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 aca="true" t="shared" si="25" ref="K103:P103">K43+K44+K46+K48+K50+K51+K52+K53+K54+K60+K64+K47</f>
        <v>36542.33</v>
      </c>
      <c r="L103" s="29">
        <f t="shared" si="25"/>
        <v>1679.7299999999998</v>
      </c>
      <c r="M103" s="29">
        <f t="shared" si="25"/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 t="shared" si="25"/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766035.78</v>
      </c>
      <c r="G104" s="29">
        <f t="shared" si="26"/>
        <v>3498.3300000000872</v>
      </c>
      <c r="H104" s="230">
        <f>F104/E104</f>
        <v>1.0045808319979983</v>
      </c>
      <c r="I104" s="29">
        <f t="shared" si="26"/>
        <v>-591450.0700000001</v>
      </c>
      <c r="J104" s="230">
        <f>F104/D104</f>
        <v>0.5643026167906368</v>
      </c>
      <c r="K104" s="29">
        <f t="shared" si="26"/>
        <v>36542.33</v>
      </c>
      <c r="L104" s="29">
        <f t="shared" si="26"/>
        <v>1679.7299999999998</v>
      </c>
      <c r="M104" s="29">
        <f t="shared" si="26"/>
        <v>11.903468751773548</v>
      </c>
      <c r="N104" s="29">
        <f t="shared" si="26"/>
        <v>123743.40000000004</v>
      </c>
      <c r="O104" s="229">
        <f t="shared" si="26"/>
        <v>122488.24999999997</v>
      </c>
      <c r="P104" s="29">
        <f t="shared" si="26"/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23.869999999995343</v>
      </c>
      <c r="G105" s="29">
        <f t="shared" si="27"/>
        <v>18.61999999998261</v>
      </c>
      <c r="H105" s="230"/>
      <c r="I105" s="29">
        <f t="shared" si="27"/>
        <v>18.619999999995343</v>
      </c>
      <c r="J105" s="230"/>
      <c r="K105" s="29">
        <f t="shared" si="27"/>
        <v>544065.4500000001</v>
      </c>
      <c r="L105" s="29">
        <f t="shared" si="27"/>
        <v>183772.13999999998</v>
      </c>
      <c r="M105" s="29">
        <f t="shared" si="27"/>
        <v>-10.584058856852746</v>
      </c>
      <c r="N105" s="29">
        <f t="shared" si="27"/>
        <v>0</v>
      </c>
      <c r="O105" s="29">
        <f t="shared" si="27"/>
        <v>22.69000000000233</v>
      </c>
      <c r="P105" s="29">
        <f t="shared" si="27"/>
        <v>22.690000000000964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 t="shared" si="29"/>
        <v>-38397.37000000011</v>
      </c>
      <c r="H124" s="277">
        <f t="shared" si="31"/>
        <v>97.23486788705297</v>
      </c>
      <c r="I124" s="279">
        <f t="shared" si="30"/>
        <v>-1548194.4500000002</v>
      </c>
      <c r="J124" s="279">
        <f t="shared" si="32"/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3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>
        <f t="shared" si="9"/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18.594603669297914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-17.29394293312792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  <row r="127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0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2017-08-03T07:46:21Z</cp:lastPrinted>
  <dcterms:created xsi:type="dcterms:W3CDTF">2003-07-28T11:27:56Z</dcterms:created>
  <dcterms:modified xsi:type="dcterms:W3CDTF">2017-08-03T07:47:08Z</dcterms:modified>
  <cp:category/>
  <cp:version/>
  <cp:contentType/>
  <cp:contentStatus/>
</cp:coreProperties>
</file>